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tcom-my.sharepoint.com/personal/bbuxton_wtcom_com/Documents/Documents/Boonton/Product/Sensors/RTP5000/Uncertainty Calculator/"/>
    </mc:Choice>
  </mc:AlternateContent>
  <xr:revisionPtr revIDLastSave="137" documentId="8_{80A3B035-E324-46C2-9675-E79E3B2FA472}" xr6:coauthVersionLast="47" xr6:coauthVersionMax="47" xr10:uidLastSave="{6F04BC4C-63ED-4401-AA61-F733BADC42CA}"/>
  <workbookProtection workbookAlgorithmName="SHA-512" workbookHashValue="g2JJWxViZZjVq3Qjc6DWjjESOlI53dl84+obPAS3E2Yt/6H5te34bgDZNeahGh2D8cPsph8O4V09UyXrkd2lzw==" workbookSaltValue="q9TccRqJJHNXg4JSn9O1rw==" workbookSpinCount="100000" lockStructure="1"/>
  <bookViews>
    <workbookView xWindow="22932" yWindow="-108" windowWidth="23256" windowHeight="12576" xr2:uid="{00000000-000D-0000-FFFF-FFFF00000000}"/>
  </bookViews>
  <sheets>
    <sheet name="Uncertainty" sheetId="1" r:id="rId1"/>
    <sheet name="Sensor Data" sheetId="2" state="hidden" r:id="rId2"/>
    <sheet name="Formula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B6" i="1"/>
  <c r="B134" i="3" l="1"/>
  <c r="B133" i="3"/>
  <c r="B98" i="3"/>
  <c r="B97" i="3"/>
  <c r="B80" i="3"/>
  <c r="B79" i="3"/>
  <c r="B53" i="3"/>
  <c r="B52" i="3"/>
  <c r="B44" i="3"/>
  <c r="B43" i="3"/>
  <c r="B26" i="3"/>
  <c r="B25" i="3"/>
  <c r="B17" i="3"/>
  <c r="B16" i="3"/>
  <c r="B8" i="3"/>
  <c r="B7" i="3"/>
  <c r="B71" i="3"/>
  <c r="B70" i="3"/>
  <c r="B2" i="3"/>
  <c r="M30" i="2"/>
  <c r="M29" i="2"/>
  <c r="M28" i="2"/>
  <c r="M27" i="2"/>
  <c r="M26" i="2"/>
  <c r="M25" i="2"/>
  <c r="M24" i="2"/>
  <c r="B3" i="3"/>
  <c r="B132" i="3" l="1"/>
  <c r="B131" i="3"/>
  <c r="B130" i="3"/>
  <c r="B129" i="3"/>
  <c r="B128" i="3"/>
  <c r="B69" i="3"/>
  <c r="B68" i="3"/>
  <c r="B67" i="3"/>
  <c r="B66" i="3"/>
  <c r="B65" i="3"/>
  <c r="C5" i="1" s="1"/>
  <c r="B15" i="3" l="1"/>
  <c r="B14" i="3"/>
  <c r="B78" i="3"/>
  <c r="B77" i="3"/>
  <c r="B76" i="3"/>
  <c r="B75" i="3"/>
  <c r="B74" i="3"/>
  <c r="D8" i="1" s="1"/>
  <c r="B96" i="3"/>
  <c r="B95" i="3"/>
  <c r="B94" i="3"/>
  <c r="B93" i="3"/>
  <c r="B92" i="3"/>
  <c r="E11" i="1" s="1"/>
  <c r="B6" i="3"/>
  <c r="B5" i="3"/>
  <c r="B4" i="3"/>
  <c r="B5" i="1" s="1"/>
  <c r="B13" i="3"/>
  <c r="B12" i="3"/>
  <c r="B11" i="3"/>
  <c r="P6" i="2" l="1"/>
  <c r="P5" i="2"/>
  <c r="P4" i="2"/>
  <c r="P3" i="2"/>
  <c r="P2" i="2"/>
  <c r="B24" i="1" l="1"/>
  <c r="B125" i="3" l="1"/>
  <c r="B124" i="3"/>
  <c r="B116" i="3"/>
  <c r="B115" i="3"/>
  <c r="B34" i="3"/>
  <c r="B33" i="3"/>
  <c r="B32" i="3"/>
  <c r="B35" i="3"/>
  <c r="B31" i="3"/>
  <c r="B30" i="3"/>
  <c r="B22" i="1" s="1"/>
  <c r="B29" i="3"/>
  <c r="B122" i="3" l="1"/>
  <c r="B114" i="3"/>
  <c r="B110" i="3"/>
  <c r="B121" i="3"/>
  <c r="B113" i="3"/>
  <c r="B120" i="3"/>
  <c r="B112" i="3"/>
  <c r="B123" i="3"/>
  <c r="B119" i="3"/>
  <c r="B111" i="3"/>
  <c r="F11" i="1" l="1"/>
  <c r="E8" i="1"/>
  <c r="E23" i="1"/>
  <c r="E24" i="1"/>
  <c r="E28" i="1"/>
  <c r="F20" i="1"/>
  <c r="E22" i="1"/>
  <c r="E21" i="1"/>
  <c r="D33" i="1"/>
  <c r="B107" i="3" l="1"/>
  <c r="B106" i="3"/>
  <c r="B103" i="3"/>
  <c r="B104" i="3"/>
  <c r="B101" i="3"/>
  <c r="B105" i="3"/>
  <c r="B102" i="3"/>
  <c r="B83" i="3"/>
  <c r="B89" i="3"/>
  <c r="B88" i="3"/>
  <c r="B86" i="3"/>
  <c r="B84" i="3"/>
  <c r="B85" i="3"/>
  <c r="B87" i="3"/>
  <c r="F24" i="1"/>
  <c r="F22" i="1"/>
  <c r="B28" i="1"/>
  <c r="F28" i="1" s="1"/>
  <c r="D9" i="1" l="1"/>
  <c r="B59" i="3" s="1"/>
  <c r="E12" i="1"/>
  <c r="B22" i="3"/>
  <c r="B48" i="3"/>
  <c r="B21" i="3"/>
  <c r="B42" i="3"/>
  <c r="B50" i="3"/>
  <c r="B39" i="3"/>
  <c r="B24" i="3"/>
  <c r="B40" i="3"/>
  <c r="B41" i="3"/>
  <c r="B49" i="3"/>
  <c r="B23" i="3"/>
  <c r="B51" i="3"/>
  <c r="B47" i="3"/>
  <c r="B25" i="1" s="1"/>
  <c r="B20" i="3"/>
  <c r="B21" i="1" s="1"/>
  <c r="B38" i="3"/>
  <c r="B23" i="1" s="1"/>
  <c r="B60" i="3" l="1"/>
  <c r="B62" i="3"/>
  <c r="B57" i="3"/>
  <c r="B58" i="3"/>
  <c r="B56" i="3"/>
  <c r="F25" i="1"/>
  <c r="B61" i="3"/>
  <c r="F23" i="1"/>
  <c r="F21" i="1"/>
  <c r="B26" i="1" l="1"/>
  <c r="F26" i="1" s="1"/>
  <c r="G31" i="1" s="1"/>
  <c r="G32" i="1" s="1"/>
  <c r="E33" i="1" s="1"/>
  <c r="G33" i="1" l="1"/>
</calcChain>
</file>

<file path=xl/sharedStrings.xml><?xml version="1.0" encoding="utf-8"?>
<sst xmlns="http://schemas.openxmlformats.org/spreadsheetml/2006/main" count="223" uniqueCount="89">
  <si>
    <t>Power Sensor</t>
  </si>
  <si>
    <t>Select USB Power Sensor</t>
  </si>
  <si>
    <t>Sensor VSWR</t>
  </si>
  <si>
    <t>Device Under Test (DUT)</t>
  </si>
  <si>
    <t>Measured Power Level</t>
  </si>
  <si>
    <t>dBm</t>
  </si>
  <si>
    <t>Measured Frequency</t>
  </si>
  <si>
    <t>GHz</t>
  </si>
  <si>
    <t>VSWR</t>
  </si>
  <si>
    <t>Measurement Settings</t>
  </si>
  <si>
    <t>Sources of Uncertainties</t>
  </si>
  <si>
    <t>Estimate (in %)</t>
  </si>
  <si>
    <t>Probability Distribution</t>
  </si>
  <si>
    <t>Divisor</t>
  </si>
  <si>
    <t>Standard Uncertainty (in %)</t>
  </si>
  <si>
    <t>Normal</t>
  </si>
  <si>
    <t>Rectangular</t>
  </si>
  <si>
    <t>Device-Under-Test</t>
  </si>
  <si>
    <t>Measurement Uncertainty</t>
  </si>
  <si>
    <t>Combined Uncertainty (%)</t>
  </si>
  <si>
    <t xml:space="preserve">Root_Sum_Squared </t>
  </si>
  <si>
    <t>Expanded Uncertainty (%)</t>
  </si>
  <si>
    <t>Coverage Factor (K)</t>
  </si>
  <si>
    <t>±</t>
  </si>
  <si>
    <t>Expanded Uncertainty (dB)</t>
  </si>
  <si>
    <t>U-shaped</t>
  </si>
  <si>
    <t>Freq Range (GHz)</t>
  </si>
  <si>
    <t xml:space="preserve">  Low</t>
  </si>
  <si>
    <t xml:space="preserve">  High</t>
  </si>
  <si>
    <t>Measurement Range (dBm)</t>
  </si>
  <si>
    <t xml:space="preserve">  Pulse</t>
  </si>
  <si>
    <t xml:space="preserve">    Low</t>
  </si>
  <si>
    <t xml:space="preserve">    High</t>
  </si>
  <si>
    <t>Cal Factor Uncertainty (%RSS)</t>
  </si>
  <si>
    <t xml:space="preserve">  Freq (GHz)</t>
  </si>
  <si>
    <t>Drift and Noise (nW)</t>
  </si>
  <si>
    <t xml:space="preserve">  CW</t>
  </si>
  <si>
    <t xml:space="preserve">to </t>
  </si>
  <si>
    <t>Power Level Standard UNC</t>
  </si>
  <si>
    <t>Shaping Error (%)</t>
  </si>
  <si>
    <t>Calibrator Match</t>
  </si>
  <si>
    <t>When using the Tegam system, this match is better, giving us a better uncertainty at 0 dBm.</t>
  </si>
  <si>
    <t>However, the relative uncertainties at different levels will be worse because we are not stepping power.</t>
  </si>
  <si>
    <t>Neither of these effects are captured yet in our uncertainty values provided to customers.</t>
  </si>
  <si>
    <t xml:space="preserve">    Instrument Uncertainty</t>
  </si>
  <si>
    <t xml:space="preserve">    Calibrator Level Uncertainty</t>
  </si>
  <si>
    <t xml:space="preserve">    Calibrator Mismatch Uncertainty</t>
  </si>
  <si>
    <t xml:space="preserve">    Sensor Shaping Error</t>
  </si>
  <si>
    <t xml:space="preserve"> Temperature Drift</t>
  </si>
  <si>
    <t xml:space="preserve"> Noise and Drift</t>
  </si>
  <si>
    <t xml:space="preserve"> Cal Factor Uncertainty</t>
  </si>
  <si>
    <t xml:space="preserve"> Mismatch between Sensor and DUT</t>
  </si>
  <si>
    <t>Measurement Type (PULSE or CW)</t>
  </si>
  <si>
    <t>Actual detector internal temperature</t>
  </si>
  <si>
    <t>VSWR @ cal frequency</t>
  </si>
  <si>
    <t>RTP5006</t>
  </si>
  <si>
    <t>RTP5318</t>
  </si>
  <si>
    <t>RTP5518</t>
  </si>
  <si>
    <t>RTP5340</t>
  </si>
  <si>
    <t>RTP5540</t>
  </si>
  <si>
    <t>Calibration Frequency (GHz)</t>
  </si>
  <si>
    <r>
      <t xml:space="preserve">Tegam </t>
    </r>
    <r>
      <rPr>
        <sz val="11"/>
        <color theme="1"/>
        <rFont val="Calibri"/>
        <family val="2"/>
      </rPr>
      <t>↓</t>
    </r>
  </si>
  <si>
    <t>1?</t>
  </si>
  <si>
    <t>Available Sensors</t>
  </si>
  <si>
    <t xml:space="preserve">  PULSE</t>
  </si>
  <si>
    <t>B5</t>
  </si>
  <si>
    <t>B6</t>
  </si>
  <si>
    <t>B21</t>
  </si>
  <si>
    <t>B22</t>
  </si>
  <si>
    <t>B23</t>
  </si>
  <si>
    <t>B25</t>
  </si>
  <si>
    <t>B26</t>
  </si>
  <si>
    <t>D8</t>
  </si>
  <si>
    <t>D9</t>
  </si>
  <si>
    <t>E8</t>
  </si>
  <si>
    <t>E11</t>
  </si>
  <si>
    <t>PULSE</t>
  </si>
  <si>
    <t>CW</t>
  </si>
  <si>
    <r>
      <t>Calibration Temperature (</t>
    </r>
    <r>
      <rPr>
        <sz val="10"/>
        <color theme="1"/>
        <rFont val="Arial"/>
        <family val="2"/>
      </rPr>
      <t>C</t>
    </r>
    <r>
      <rPr>
        <sz val="11"/>
        <color theme="1"/>
        <rFont val="Arial"/>
        <family val="2"/>
      </rPr>
      <t>)</t>
    </r>
  </si>
  <si>
    <t xml:space="preserve">Measurement Temperature (C) </t>
  </si>
  <si>
    <t>C5</t>
  </si>
  <si>
    <t>Frequency Range (GHz)</t>
  </si>
  <si>
    <t>F5</t>
  </si>
  <si>
    <t>Boonton RTP5000 Real-Time USB Peak Power Sensor Measurement Uncertainty Calculator v0.3</t>
  </si>
  <si>
    <r>
      <t xml:space="preserve">RTP5008 </t>
    </r>
    <r>
      <rPr>
        <sz val="11"/>
        <color theme="1"/>
        <rFont val="Calibri"/>
        <family val="2"/>
      </rPr>
      <t>≤6 GHz</t>
    </r>
  </si>
  <si>
    <t>RTP5008 &gt;6 GHz</t>
  </si>
  <si>
    <t>RTP5008 ≤6 GHz</t>
  </si>
  <si>
    <t>E12</t>
  </si>
  <si>
    <t>F11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</si>
</sst>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00FF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9" fontId="10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/>
    <xf numFmtId="2" fontId="4" fillId="3" borderId="13" xfId="0" applyNumberFormat="1" applyFont="1" applyFill="1" applyBorder="1" applyAlignment="1" applyProtection="1">
      <alignment horizontal="center"/>
      <protection locked="0"/>
    </xf>
    <xf numFmtId="165" fontId="4" fillId="3" borderId="8" xfId="0" applyNumberFormat="1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49" fontId="4" fillId="3" borderId="6" xfId="0" applyNumberFormat="1" applyFont="1" applyFill="1" applyBorder="1" applyAlignment="1" applyProtection="1">
      <alignment horizontal="center"/>
      <protection locked="0"/>
    </xf>
    <xf numFmtId="165" fontId="9" fillId="3" borderId="13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hidden="1"/>
    </xf>
    <xf numFmtId="0" fontId="3" fillId="0" borderId="17" xfId="0" applyFont="1" applyBorder="1" applyProtection="1">
      <protection hidden="1"/>
    </xf>
    <xf numFmtId="0" fontId="7" fillId="0" borderId="17" xfId="0" applyFont="1" applyBorder="1" applyAlignment="1" applyProtection="1">
      <alignment horizontal="center"/>
      <protection hidden="1"/>
    </xf>
    <xf numFmtId="2" fontId="7" fillId="0" borderId="17" xfId="0" applyNumberFormat="1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2" fontId="7" fillId="0" borderId="14" xfId="0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2" fontId="7" fillId="0" borderId="13" xfId="0" applyNumberFormat="1" applyFont="1" applyBorder="1" applyAlignment="1" applyProtection="1">
      <alignment horizontal="center"/>
      <protection hidden="1"/>
    </xf>
    <xf numFmtId="0" fontId="3" fillId="0" borderId="10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6" fillId="0" borderId="0" xfId="0" applyFont="1" applyProtection="1">
      <protection hidden="1"/>
    </xf>
    <xf numFmtId="0" fontId="2" fillId="2" borderId="4" xfId="0" applyFont="1" applyFill="1" applyBorder="1" applyProtection="1">
      <protection hidden="1"/>
    </xf>
    <xf numFmtId="0" fontId="3" fillId="0" borderId="18" xfId="0" applyFont="1" applyFill="1" applyBorder="1" applyAlignment="1" applyProtection="1">
      <alignment horizontal="left"/>
      <protection hidden="1"/>
    </xf>
    <xf numFmtId="2" fontId="3" fillId="0" borderId="19" xfId="0" applyNumberFormat="1" applyFont="1" applyFill="1" applyBorder="1" applyAlignment="1" applyProtection="1">
      <alignment horizontal="center" vertical="center"/>
      <protection hidden="1"/>
    </xf>
    <xf numFmtId="2" fontId="3" fillId="0" borderId="19" xfId="0" applyNumberFormat="1" applyFont="1" applyBorder="1" applyAlignment="1" applyProtection="1">
      <alignment horizontal="center" vertic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left"/>
      <protection hidden="1"/>
    </xf>
    <xf numFmtId="2" fontId="3" fillId="0" borderId="11" xfId="0" applyNumberFormat="1" applyFont="1" applyFill="1" applyBorder="1" applyAlignment="1" applyProtection="1">
      <alignment horizontal="center" vertical="center"/>
      <protection hidden="1"/>
    </xf>
    <xf numFmtId="2" fontId="3" fillId="0" borderId="11" xfId="0" applyNumberFormat="1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left" indent="1"/>
      <protection hidden="1"/>
    </xf>
    <xf numFmtId="2" fontId="3" fillId="0" borderId="11" xfId="0" applyNumberFormat="1" applyFont="1" applyFill="1" applyBorder="1" applyAlignment="1" applyProtection="1">
      <alignment horizontal="center"/>
      <protection hidden="1"/>
    </xf>
    <xf numFmtId="2" fontId="3" fillId="0" borderId="20" xfId="0" applyNumberFormat="1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left" indent="1"/>
      <protection hidden="1"/>
    </xf>
    <xf numFmtId="2" fontId="3" fillId="0" borderId="17" xfId="0" applyNumberFormat="1" applyFont="1" applyFill="1" applyBorder="1" applyAlignment="1" applyProtection="1">
      <alignment horizontal="center"/>
      <protection hidden="1"/>
    </xf>
    <xf numFmtId="2" fontId="3" fillId="0" borderId="17" xfId="0" applyNumberFormat="1" applyFont="1" applyBorder="1" applyProtection="1"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0" fontId="2" fillId="2" borderId="4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3" fillId="0" borderId="5" xfId="0" applyFont="1" applyBorder="1" applyProtection="1">
      <protection hidden="1"/>
    </xf>
    <xf numFmtId="2" fontId="7" fillId="0" borderId="6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3" fillId="0" borderId="25" xfId="0" applyFont="1" applyBorder="1" applyAlignment="1" applyProtection="1">
      <alignment horizontal="left" indent="1"/>
      <protection hidden="1"/>
    </xf>
    <xf numFmtId="0" fontId="3" fillId="0" borderId="24" xfId="0" applyFont="1" applyBorder="1" applyAlignment="1" applyProtection="1">
      <alignment horizontal="left" indent="1"/>
      <protection hidden="1"/>
    </xf>
    <xf numFmtId="0" fontId="8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5" xfId="0" applyFont="1" applyBorder="1" applyAlignment="1" applyProtection="1">
      <alignment horizontal="left" indent="1"/>
      <protection hidden="1"/>
    </xf>
    <xf numFmtId="0" fontId="2" fillId="4" borderId="4" xfId="0" applyFont="1" applyFill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0" xfId="0" quotePrefix="1" applyFo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8" fillId="0" borderId="0" xfId="0" quotePrefix="1" applyFont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7" fillId="0" borderId="9" xfId="0" applyFont="1" applyBorder="1" applyAlignment="1" applyProtection="1">
      <alignment horizontal="center"/>
      <protection hidden="1"/>
    </xf>
    <xf numFmtId="0" fontId="7" fillId="0" borderId="12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/>
    <xf numFmtId="0" fontId="0" fillId="0" borderId="0" xfId="0" applyAlignment="1">
      <alignment horizontal="right"/>
    </xf>
    <xf numFmtId="0" fontId="0" fillId="6" borderId="0" xfId="0" applyFill="1"/>
    <xf numFmtId="0" fontId="7" fillId="6" borderId="0" xfId="0" applyFont="1" applyFill="1" applyBorder="1" applyAlignment="1">
      <alignment vertical="center" wrapText="1"/>
    </xf>
    <xf numFmtId="165" fontId="0" fillId="6" borderId="0" xfId="0" applyNumberFormat="1" applyFill="1"/>
    <xf numFmtId="0" fontId="13" fillId="0" borderId="0" xfId="0" applyFont="1"/>
    <xf numFmtId="0" fontId="13" fillId="0" borderId="0" xfId="0" applyFont="1" applyFill="1"/>
    <xf numFmtId="2" fontId="13" fillId="0" borderId="0" xfId="0" applyNumberFormat="1" applyFont="1" applyFill="1"/>
    <xf numFmtId="0" fontId="13" fillId="6" borderId="0" xfId="0" applyFont="1" applyFill="1"/>
    <xf numFmtId="2" fontId="13" fillId="6" borderId="0" xfId="0" applyNumberFormat="1" applyFont="1" applyFill="1"/>
    <xf numFmtId="2" fontId="13" fillId="6" borderId="0" xfId="2" applyNumberFormat="1" applyFont="1" applyFill="1"/>
    <xf numFmtId="2" fontId="13" fillId="0" borderId="0" xfId="2" applyNumberFormat="1" applyFont="1" applyFill="1"/>
    <xf numFmtId="165" fontId="13" fillId="6" borderId="0" xfId="0" applyNumberFormat="1" applyFont="1" applyFill="1"/>
    <xf numFmtId="165" fontId="13" fillId="0" borderId="0" xfId="0" applyNumberFormat="1" applyFont="1" applyFill="1"/>
    <xf numFmtId="165" fontId="13" fillId="0" borderId="0" xfId="0" applyNumberFormat="1" applyFont="1"/>
    <xf numFmtId="2" fontId="4" fillId="3" borderId="11" xfId="0" applyNumberFormat="1" applyFont="1" applyFill="1" applyBorder="1" applyAlignment="1" applyProtection="1">
      <alignment horizontal="center"/>
      <protection locked="0"/>
    </xf>
    <xf numFmtId="165" fontId="4" fillId="3" borderId="34" xfId="0" applyNumberFormat="1" applyFont="1" applyFill="1" applyBorder="1" applyAlignment="1" applyProtection="1">
      <alignment horizontal="center"/>
      <protection locked="0"/>
    </xf>
    <xf numFmtId="2" fontId="3" fillId="0" borderId="17" xfId="0" applyNumberFormat="1" applyFont="1" applyBorder="1" applyAlignment="1" applyProtection="1">
      <alignment horizontal="center"/>
      <protection hidden="1"/>
    </xf>
    <xf numFmtId="0" fontId="7" fillId="0" borderId="14" xfId="0" applyFont="1" applyBorder="1" applyAlignment="1" applyProtection="1">
      <alignment horizontal="center"/>
      <protection hidden="1"/>
    </xf>
    <xf numFmtId="0" fontId="0" fillId="7" borderId="0" xfId="0" applyFill="1"/>
    <xf numFmtId="0" fontId="13" fillId="7" borderId="0" xfId="0" applyFont="1" applyFill="1"/>
    <xf numFmtId="2" fontId="0" fillId="0" borderId="0" xfId="0" applyNumberFormat="1"/>
    <xf numFmtId="2" fontId="13" fillId="0" borderId="0" xfId="0" applyNumberFormat="1" applyFont="1"/>
    <xf numFmtId="2" fontId="0" fillId="7" borderId="0" xfId="0" applyNumberFormat="1" applyFill="1"/>
    <xf numFmtId="2" fontId="13" fillId="7" borderId="0" xfId="0" applyNumberFormat="1" applyFont="1" applyFill="1"/>
    <xf numFmtId="2" fontId="13" fillId="7" borderId="0" xfId="2" applyNumberFormat="1" applyFont="1" applyFill="1"/>
    <xf numFmtId="165" fontId="13" fillId="7" borderId="0" xfId="0" applyNumberFormat="1" applyFont="1" applyFill="1"/>
    <xf numFmtId="165" fontId="0" fillId="0" borderId="0" xfId="0" applyNumberFormat="1"/>
    <xf numFmtId="165" fontId="0" fillId="7" borderId="0" xfId="0" applyNumberFormat="1" applyFill="1"/>
    <xf numFmtId="0" fontId="15" fillId="0" borderId="0" xfId="0" applyNumberFormat="1" applyFont="1" applyProtection="1">
      <protection hidden="1"/>
    </xf>
    <xf numFmtId="0" fontId="15" fillId="0" borderId="0" xfId="0" applyNumberFormat="1" applyFont="1" applyFill="1" applyProtection="1">
      <protection hidden="1"/>
    </xf>
    <xf numFmtId="0" fontId="16" fillId="0" borderId="2" xfId="0" applyFont="1" applyBorder="1" applyAlignment="1" applyProtection="1">
      <alignment horizontal="left" indent="1"/>
      <protection hidden="1"/>
    </xf>
    <xf numFmtId="0" fontId="16" fillId="0" borderId="0" xfId="0" applyFont="1" applyAlignment="1" applyProtection="1">
      <alignment horizontal="center"/>
      <protection hidden="1"/>
    </xf>
    <xf numFmtId="0" fontId="0" fillId="0" borderId="0" xfId="0" applyNumberFormat="1" applyFill="1" applyAlignment="1">
      <alignment horizontal="left"/>
    </xf>
    <xf numFmtId="0" fontId="15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0" fontId="15" fillId="0" borderId="0" xfId="0" quotePrefix="1" applyFont="1" applyProtection="1"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31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left" vertical="center"/>
      <protection hidden="1"/>
    </xf>
    <xf numFmtId="0" fontId="3" fillId="5" borderId="16" xfId="0" applyFont="1" applyFill="1" applyBorder="1" applyAlignment="1" applyProtection="1">
      <alignment horizontal="left" vertical="center"/>
      <protection hidden="1"/>
    </xf>
    <xf numFmtId="0" fontId="3" fillId="5" borderId="8" xfId="0" applyFont="1" applyFill="1" applyBorder="1" applyAlignment="1" applyProtection="1">
      <alignment horizontal="center" vertical="center"/>
      <protection hidden="1"/>
    </xf>
    <xf numFmtId="0" fontId="3" fillId="5" borderId="17" xfId="0" applyFont="1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165" fontId="14" fillId="4" borderId="8" xfId="0" applyNumberFormat="1" applyFont="1" applyFill="1" applyBorder="1" applyAlignment="1" applyProtection="1">
      <alignment horizontal="center"/>
      <protection hidden="1"/>
    </xf>
    <xf numFmtId="165" fontId="14" fillId="4" borderId="6" xfId="0" applyNumberFormat="1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 vertical="center"/>
      <protection hidden="1"/>
    </xf>
    <xf numFmtId="0" fontId="3" fillId="5" borderId="27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0" borderId="30" xfId="0" applyFont="1" applyFill="1" applyBorder="1" applyAlignment="1" applyProtection="1">
      <alignment horizontal="center"/>
      <protection hidden="1"/>
    </xf>
    <xf numFmtId="0" fontId="3" fillId="0" borderId="31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FFFFCC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"/>
  <sheetViews>
    <sheetView tabSelected="1" zoomScale="120" zoomScaleNormal="120" workbookViewId="0">
      <selection activeCell="B13" sqref="B13"/>
    </sheetView>
  </sheetViews>
  <sheetFormatPr defaultColWidth="9.1796875" defaultRowHeight="14" x14ac:dyDescent="0.3"/>
  <cols>
    <col min="1" max="1" width="40.81640625" style="14" customWidth="1"/>
    <col min="2" max="2" width="25.26953125" style="14" customWidth="1"/>
    <col min="3" max="4" width="13.7265625" style="14" customWidth="1"/>
    <col min="5" max="6" width="25" style="14" customWidth="1"/>
    <col min="7" max="7" width="8" style="14" bestFit="1" customWidth="1"/>
    <col min="8" max="8" width="19.26953125" style="14" customWidth="1"/>
    <col min="9" max="11" width="11.453125" style="14" customWidth="1"/>
    <col min="12" max="12" width="13.1796875" style="14" bestFit="1" customWidth="1"/>
    <col min="13" max="16384" width="9.1796875" style="14"/>
  </cols>
  <sheetData>
    <row r="1" spans="1:14" ht="20.5" thickBot="1" x14ac:dyDescent="0.35">
      <c r="A1" s="99" t="s">
        <v>83</v>
      </c>
      <c r="B1" s="100"/>
      <c r="C1" s="100"/>
      <c r="D1" s="100"/>
      <c r="E1" s="100"/>
      <c r="F1" s="100"/>
      <c r="G1" s="101"/>
    </row>
    <row r="2" spans="1:14" ht="14.5" thickBot="1" x14ac:dyDescent="0.35"/>
    <row r="3" spans="1:14" ht="16.5" customHeight="1" thickBot="1" x14ac:dyDescent="0.4">
      <c r="A3" s="46" t="s">
        <v>0</v>
      </c>
      <c r="B3" s="47"/>
      <c r="C3" s="47"/>
    </row>
    <row r="4" spans="1:14" ht="16.5" customHeight="1" x14ac:dyDescent="0.3">
      <c r="A4" s="45" t="s">
        <v>1</v>
      </c>
      <c r="B4" s="72" t="s">
        <v>55</v>
      </c>
      <c r="C4" s="108" t="s">
        <v>29</v>
      </c>
      <c r="D4" s="108"/>
      <c r="E4" s="108" t="s">
        <v>81</v>
      </c>
      <c r="F4" s="109"/>
      <c r="G4" s="43"/>
      <c r="H4" s="43"/>
    </row>
    <row r="5" spans="1:14" ht="16.5" customHeight="1" thickBot="1" x14ac:dyDescent="0.35">
      <c r="A5" s="31" t="s">
        <v>2</v>
      </c>
      <c r="B5" s="73">
        <f>VLOOKUP(B4,Formulas!A2:B8,2,FALSE)</f>
        <v>1.25</v>
      </c>
      <c r="C5" s="73">
        <f>VLOOKUP(B4,Formulas!A65:B71,2,FALSE)</f>
        <v>-60</v>
      </c>
      <c r="D5" s="10">
        <v>20</v>
      </c>
      <c r="E5" s="73">
        <v>0.05</v>
      </c>
      <c r="F5" s="74">
        <f>VLOOKUP(B4,Formulas!A128:B134,2,FALSE)</f>
        <v>6</v>
      </c>
      <c r="G5" s="43"/>
      <c r="H5" s="43"/>
      <c r="J5" s="48"/>
    </row>
    <row r="6" spans="1:14" s="43" customFormat="1" ht="16.5" customHeight="1" thickBot="1" x14ac:dyDescent="0.35">
      <c r="A6" s="87" t="s">
        <v>54</v>
      </c>
      <c r="B6" s="88">
        <f>VLOOKUP(B4,Formulas!A11:B17,2,FALSE)</f>
        <v>1.25</v>
      </c>
      <c r="C6" s="50"/>
      <c r="D6" s="90"/>
      <c r="E6" s="90"/>
      <c r="F6" s="90"/>
      <c r="H6" s="51"/>
      <c r="M6" s="52"/>
    </row>
    <row r="7" spans="1:14" ht="16.5" customHeight="1" thickBot="1" x14ac:dyDescent="0.4">
      <c r="A7" s="20" t="s">
        <v>3</v>
      </c>
      <c r="B7" s="49"/>
      <c r="C7" s="49"/>
      <c r="D7" s="91"/>
      <c r="E7" s="92"/>
      <c r="F7" s="90"/>
      <c r="I7" s="19"/>
      <c r="J7" s="19"/>
      <c r="K7" s="19"/>
      <c r="L7" s="19"/>
      <c r="M7" s="19"/>
      <c r="N7" s="19"/>
    </row>
    <row r="8" spans="1:14" ht="16.5" customHeight="1" x14ac:dyDescent="0.3">
      <c r="A8" s="45" t="s">
        <v>4</v>
      </c>
      <c r="B8" s="3">
        <v>0</v>
      </c>
      <c r="C8" s="53" t="s">
        <v>5</v>
      </c>
      <c r="D8" s="85">
        <f>VLOOKUP(B4,Formulas!A74:B80,2,FALSE)</f>
        <v>1</v>
      </c>
      <c r="E8" s="85">
        <f>VLOOKUP(B4,Formulas!A110:B116,2,FALSE)</f>
        <v>2</v>
      </c>
      <c r="F8" s="85"/>
      <c r="H8" s="19"/>
      <c r="I8" s="19"/>
      <c r="J8" s="19"/>
      <c r="K8" s="19"/>
      <c r="L8" s="19"/>
      <c r="M8" s="19"/>
    </row>
    <row r="9" spans="1:14" ht="16.5" customHeight="1" thickBot="1" x14ac:dyDescent="0.35">
      <c r="A9" s="28" t="s">
        <v>6</v>
      </c>
      <c r="B9" s="71">
        <v>1</v>
      </c>
      <c r="C9" s="54" t="s">
        <v>7</v>
      </c>
      <c r="D9" s="86">
        <f>VLOOKUP(B4,Formulas!A83:B89,2,FALSE)</f>
        <v>2</v>
      </c>
      <c r="E9" s="85"/>
      <c r="F9" s="85"/>
      <c r="H9" s="19"/>
      <c r="I9" s="19"/>
      <c r="J9" s="19"/>
      <c r="K9" s="19"/>
      <c r="L9" s="19"/>
      <c r="M9" s="19"/>
    </row>
    <row r="10" spans="1:14" ht="16.5" customHeight="1" x14ac:dyDescent="0.3">
      <c r="A10" s="28" t="s">
        <v>8</v>
      </c>
      <c r="B10" s="2">
        <v>1</v>
      </c>
      <c r="C10" s="55"/>
      <c r="D10" s="85"/>
      <c r="E10" s="85"/>
      <c r="F10" s="85"/>
      <c r="H10" s="19"/>
      <c r="I10" s="19"/>
      <c r="J10" s="19"/>
      <c r="K10" s="19"/>
      <c r="L10" s="19"/>
      <c r="M10" s="19"/>
    </row>
    <row r="11" spans="1:14" ht="16.5" customHeight="1" thickBot="1" x14ac:dyDescent="0.35">
      <c r="D11" s="85"/>
      <c r="E11" s="85">
        <f>VLOOKUP(B4,Formulas!A92:B98,2,FALSE)</f>
        <v>1.4</v>
      </c>
      <c r="F11" s="85">
        <f>VLOOKUP(B4,Formulas!A119:B125,2,FALSE)</f>
        <v>2</v>
      </c>
      <c r="I11" s="19"/>
      <c r="J11" s="19"/>
      <c r="K11" s="19"/>
      <c r="L11" s="19"/>
      <c r="M11" s="19"/>
      <c r="N11" s="19"/>
    </row>
    <row r="12" spans="1:14" ht="16.5" customHeight="1" thickBot="1" x14ac:dyDescent="0.4">
      <c r="A12" s="20" t="s">
        <v>9</v>
      </c>
      <c r="B12" s="44"/>
      <c r="C12" s="44"/>
      <c r="D12" s="85"/>
      <c r="E12" s="86">
        <f>VLOOKUP(B4,Formulas!A101:B107,2,FALSE)</f>
        <v>1.4</v>
      </c>
      <c r="F12" s="85"/>
      <c r="I12" s="19"/>
      <c r="J12" s="19"/>
      <c r="K12" s="19"/>
      <c r="L12" s="19"/>
      <c r="M12" s="19"/>
      <c r="N12" s="19"/>
    </row>
    <row r="13" spans="1:14" ht="16.5" customHeight="1" x14ac:dyDescent="0.3">
      <c r="A13" s="42" t="s">
        <v>52</v>
      </c>
      <c r="B13" s="6" t="s">
        <v>77</v>
      </c>
      <c r="D13" s="90"/>
      <c r="E13" s="90"/>
      <c r="F13" s="90"/>
      <c r="H13" s="19"/>
      <c r="I13" s="19"/>
      <c r="J13" s="19"/>
      <c r="K13" s="19"/>
    </row>
    <row r="14" spans="1:14" ht="16.5" customHeight="1" x14ac:dyDescent="0.3">
      <c r="A14" s="42" t="s">
        <v>78</v>
      </c>
      <c r="B14" s="7">
        <v>22</v>
      </c>
      <c r="C14" s="40" t="s">
        <v>53</v>
      </c>
      <c r="H14" s="19"/>
      <c r="I14" s="19"/>
      <c r="J14" s="19"/>
      <c r="K14" s="19"/>
    </row>
    <row r="15" spans="1:14" ht="16.5" customHeight="1" thickBot="1" x14ac:dyDescent="0.35">
      <c r="A15" s="41" t="s">
        <v>79</v>
      </c>
      <c r="B15" s="4">
        <v>22</v>
      </c>
      <c r="C15" s="40" t="s">
        <v>53</v>
      </c>
      <c r="H15" s="19"/>
      <c r="I15" s="19"/>
      <c r="J15" s="19"/>
      <c r="K15" s="19"/>
      <c r="L15" s="19"/>
      <c r="M15" s="19"/>
    </row>
    <row r="16" spans="1:14" ht="16.5" customHeight="1" thickBot="1" x14ac:dyDescent="0.35">
      <c r="I16" s="19"/>
      <c r="J16" s="19"/>
      <c r="K16" s="19"/>
      <c r="L16" s="19"/>
      <c r="M16" s="19"/>
      <c r="N16" s="19"/>
    </row>
    <row r="17" spans="1:14" ht="16.5" customHeight="1" thickBot="1" x14ac:dyDescent="0.4">
      <c r="A17" s="20" t="s">
        <v>10</v>
      </c>
      <c r="F17" s="19"/>
      <c r="G17" s="19"/>
      <c r="H17" s="19"/>
      <c r="I17" s="19"/>
      <c r="J17" s="19"/>
      <c r="K17" s="19"/>
      <c r="L17" s="19"/>
      <c r="M17" s="19"/>
      <c r="N17" s="19"/>
    </row>
    <row r="18" spans="1:14" ht="16.5" customHeight="1" x14ac:dyDescent="0.3">
      <c r="A18" s="102" t="s">
        <v>0</v>
      </c>
      <c r="B18" s="104" t="s">
        <v>11</v>
      </c>
      <c r="C18" s="110" t="s">
        <v>12</v>
      </c>
      <c r="D18" s="111"/>
      <c r="E18" s="104" t="s">
        <v>13</v>
      </c>
      <c r="F18" s="106" t="s">
        <v>14</v>
      </c>
    </row>
    <row r="19" spans="1:14" ht="16.5" customHeight="1" thickBot="1" x14ac:dyDescent="0.35">
      <c r="A19" s="103"/>
      <c r="B19" s="105"/>
      <c r="C19" s="112"/>
      <c r="D19" s="113"/>
      <c r="E19" s="105"/>
      <c r="F19" s="107"/>
    </row>
    <row r="20" spans="1:14" ht="16.5" customHeight="1" x14ac:dyDescent="0.3">
      <c r="A20" s="21" t="s">
        <v>44</v>
      </c>
      <c r="B20" s="22">
        <v>0.2</v>
      </c>
      <c r="C20" s="93" t="s">
        <v>15</v>
      </c>
      <c r="D20" s="94"/>
      <c r="E20" s="23">
        <v>2</v>
      </c>
      <c r="F20" s="24">
        <f t="shared" ref="F20:F26" si="0">B20/E20</f>
        <v>0.1</v>
      </c>
    </row>
    <row r="21" spans="1:14" ht="16.5" customHeight="1" x14ac:dyDescent="0.3">
      <c r="A21" s="25" t="s">
        <v>45</v>
      </c>
      <c r="B21" s="26">
        <f>VLOOKUP(B4,Formulas!A20:B26,2,FALSE)</f>
        <v>0.9</v>
      </c>
      <c r="C21" s="95" t="s">
        <v>16</v>
      </c>
      <c r="D21" s="96"/>
      <c r="E21" s="27">
        <f>SQRT(3)</f>
        <v>1.7320508075688772</v>
      </c>
      <c r="F21" s="24">
        <f t="shared" si="0"/>
        <v>0.51961524227066325</v>
      </c>
    </row>
    <row r="22" spans="1:14" ht="16.5" customHeight="1" x14ac:dyDescent="0.3">
      <c r="A22" s="25" t="s">
        <v>46</v>
      </c>
      <c r="B22" s="26">
        <f>VLOOKUP(B4,Formulas!A29:B35,2,FALSE)</f>
        <v>0.54200542005420105</v>
      </c>
      <c r="C22" s="97" t="s">
        <v>25</v>
      </c>
      <c r="D22" s="98"/>
      <c r="E22" s="27">
        <f>SQRT(2)</f>
        <v>1.4142135623730951</v>
      </c>
      <c r="F22" s="24">
        <f t="shared" si="0"/>
        <v>0.38325570796018871</v>
      </c>
    </row>
    <row r="23" spans="1:14" ht="16.5" customHeight="1" x14ac:dyDescent="0.3">
      <c r="A23" s="25" t="s">
        <v>47</v>
      </c>
      <c r="B23" s="26">
        <f>VLOOKUP(B4,Formulas!A38:B44,2,FALSE)</f>
        <v>0.5</v>
      </c>
      <c r="C23" s="95" t="s">
        <v>16</v>
      </c>
      <c r="D23" s="96"/>
      <c r="E23" s="27">
        <f>SQRT(3)</f>
        <v>1.7320508075688772</v>
      </c>
      <c r="F23" s="24">
        <f t="shared" si="0"/>
        <v>0.28867513459481292</v>
      </c>
    </row>
    <row r="24" spans="1:14" ht="16.5" customHeight="1" x14ac:dyDescent="0.3">
      <c r="A24" s="28" t="s">
        <v>48</v>
      </c>
      <c r="B24" s="29">
        <f>0.93+(0.069*ABS(B15-B14))</f>
        <v>0.93</v>
      </c>
      <c r="C24" s="95" t="s">
        <v>16</v>
      </c>
      <c r="D24" s="96"/>
      <c r="E24" s="27">
        <f>SQRT(3)</f>
        <v>1.7320508075688772</v>
      </c>
      <c r="F24" s="30">
        <f t="shared" ref="F24" si="1">B24/E24</f>
        <v>0.53693575034635199</v>
      </c>
    </row>
    <row r="25" spans="1:14" ht="16.5" customHeight="1" x14ac:dyDescent="0.3">
      <c r="A25" s="28" t="s">
        <v>49</v>
      </c>
      <c r="B25" s="29">
        <f>VLOOKUP(B4,Formulas!A47:B53,2,FALSE)</f>
        <v>9.9999999999999991E-5</v>
      </c>
      <c r="C25" s="114" t="s">
        <v>15</v>
      </c>
      <c r="D25" s="115"/>
      <c r="E25" s="27">
        <v>2</v>
      </c>
      <c r="F25" s="30">
        <f>B25/E25</f>
        <v>4.9999999999999996E-5</v>
      </c>
    </row>
    <row r="26" spans="1:14" ht="16.5" customHeight="1" x14ac:dyDescent="0.3">
      <c r="A26" s="28" t="s">
        <v>50</v>
      </c>
      <c r="B26" s="26">
        <f>VLOOKUP(B4,Formulas!A56:B62,2,FALSE)</f>
        <v>1.4</v>
      </c>
      <c r="C26" s="95" t="s">
        <v>15</v>
      </c>
      <c r="D26" s="96"/>
      <c r="E26" s="27">
        <v>1</v>
      </c>
      <c r="F26" s="24">
        <f t="shared" si="0"/>
        <v>1.4</v>
      </c>
    </row>
    <row r="27" spans="1:14" ht="16.5" customHeight="1" x14ac:dyDescent="0.3">
      <c r="A27" s="25" t="s">
        <v>17</v>
      </c>
      <c r="B27" s="118"/>
      <c r="C27" s="118"/>
      <c r="D27" s="118"/>
      <c r="E27" s="118"/>
      <c r="F27" s="119"/>
    </row>
    <row r="28" spans="1:14" ht="16.5" customHeight="1" thickBot="1" x14ac:dyDescent="0.35">
      <c r="A28" s="31" t="s">
        <v>51</v>
      </c>
      <c r="B28" s="32">
        <f>((1+(B10-1)/(B10+1)*(B5-1)/(B5+1))^2-1)*100</f>
        <v>0</v>
      </c>
      <c r="C28" s="116" t="s">
        <v>25</v>
      </c>
      <c r="D28" s="117"/>
      <c r="E28" s="33">
        <f>SQRT(2)</f>
        <v>1.4142135623730951</v>
      </c>
      <c r="F28" s="34">
        <f t="shared" ref="F28" si="2">B28/E28</f>
        <v>0</v>
      </c>
    </row>
    <row r="29" spans="1:14" ht="16.75" customHeight="1" thickBot="1" x14ac:dyDescent="0.35">
      <c r="B29" s="35"/>
      <c r="C29" s="35"/>
    </row>
    <row r="30" spans="1:14" ht="16.75" customHeight="1" thickBot="1" x14ac:dyDescent="0.4">
      <c r="A30" s="36" t="s">
        <v>18</v>
      </c>
      <c r="B30" s="37"/>
      <c r="C30" s="37"/>
      <c r="D30" s="37"/>
      <c r="E30" s="37"/>
      <c r="F30" s="37"/>
      <c r="G30" s="37"/>
    </row>
    <row r="31" spans="1:14" ht="16.75" customHeight="1" x14ac:dyDescent="0.3">
      <c r="A31" s="38" t="s">
        <v>19</v>
      </c>
      <c r="B31" s="93" t="s">
        <v>20</v>
      </c>
      <c r="C31" s="120"/>
      <c r="D31" s="120"/>
      <c r="E31" s="120"/>
      <c r="F31" s="94"/>
      <c r="G31" s="39">
        <f>SQRT(SUMSQ(F20:F26,F28:F28))</f>
        <v>1.6608787654483992</v>
      </c>
    </row>
    <row r="32" spans="1:14" ht="16.75" customHeight="1" x14ac:dyDescent="0.3">
      <c r="A32" s="17" t="s">
        <v>21</v>
      </c>
      <c r="B32" s="18" t="s">
        <v>22</v>
      </c>
      <c r="C32" s="18"/>
      <c r="D32" s="5">
        <v>2</v>
      </c>
      <c r="E32" s="15" t="s">
        <v>15</v>
      </c>
      <c r="F32" s="15" t="s">
        <v>23</v>
      </c>
      <c r="G32" s="16">
        <f>G31*D32</f>
        <v>3.3217575308967984</v>
      </c>
    </row>
    <row r="33" spans="1:7" ht="16.75" customHeight="1" thickBot="1" x14ac:dyDescent="0.35">
      <c r="A33" s="8" t="s">
        <v>24</v>
      </c>
      <c r="B33" s="9" t="s">
        <v>22</v>
      </c>
      <c r="C33" s="9"/>
      <c r="D33" s="10">
        <f>D32</f>
        <v>2</v>
      </c>
      <c r="E33" s="11">
        <f>IFERROR(10*LOG(1-G32/100),"N/A")</f>
        <v>-0.14671253308948334</v>
      </c>
      <c r="F33" s="12" t="s">
        <v>37</v>
      </c>
      <c r="G33" s="13">
        <f>10*LOG(1+G32/100)</f>
        <v>0.14191785030106258</v>
      </c>
    </row>
  </sheetData>
  <sheetProtection algorithmName="SHA-512" hashValue="HOXme8OTu2YjlEYxKVwKdeQ2+ubut24tQ71eKxRJTVQ4vMjbq6DNAHd7E2QCSqU77k4CooZeLm24fjI+c8q85A==" saltValue="p3CDNIShM2BRELZ8VoitJQ==" spinCount="100000" sheet="1" objects="1" scenarios="1" selectLockedCells="1"/>
  <mergeCells count="18">
    <mergeCell ref="C25:D25"/>
    <mergeCell ref="C26:D26"/>
    <mergeCell ref="C28:D28"/>
    <mergeCell ref="B27:F27"/>
    <mergeCell ref="B31:F31"/>
    <mergeCell ref="A1:G1"/>
    <mergeCell ref="A18:A19"/>
    <mergeCell ref="B18:B19"/>
    <mergeCell ref="E18:E19"/>
    <mergeCell ref="F18:F19"/>
    <mergeCell ref="E4:F4"/>
    <mergeCell ref="C4:D4"/>
    <mergeCell ref="C18:D19"/>
    <mergeCell ref="C20:D20"/>
    <mergeCell ref="C21:D21"/>
    <mergeCell ref="C22:D22"/>
    <mergeCell ref="C23:D23"/>
    <mergeCell ref="C24:D24"/>
  </mergeCells>
  <dataValidations count="5">
    <dataValidation type="decimal" operator="greaterThanOrEqual" allowBlank="1" showInputMessage="1" showErrorMessage="1" error="Invalid value, must be =&gt;1." sqref="B10" xr:uid="{00000000-0002-0000-0000-000000000000}">
      <formula1>1</formula1>
    </dataValidation>
    <dataValidation type="whole" allowBlank="1" showInputMessage="1" showErrorMessage="1" error="Rnage between 1 and 3" sqref="D32" xr:uid="{00000000-0002-0000-0000-000001000000}">
      <formula1>1</formula1>
      <formula2>3</formula2>
    </dataValidation>
    <dataValidation type="decimal" allowBlank="1" showInputMessage="1" showErrorMessage="1" error="Value must be between 0 C and 55 C." sqref="B14:B15" xr:uid="{B2696402-99F2-4EBA-A882-7E00A0077BDD}">
      <formula1>0</formula1>
      <formula2>55</formula2>
    </dataValidation>
    <dataValidation type="decimal" showInputMessage="1" showErrorMessage="1" error="Must be in sensor measurement range." sqref="B8" xr:uid="{FE07092C-7766-4624-AD05-4F1B312E62B3}">
      <formula1>C5</formula1>
      <formula2>D5</formula2>
    </dataValidation>
    <dataValidation type="decimal" showInputMessage="1" showErrorMessage="1" error="Must be in sensor frequency range." sqref="B9" xr:uid="{D60E24E8-6DA2-4C17-8538-5FA6E64C7D58}">
      <formula1>E5</formula1>
      <formula2>F5</formula2>
    </dataValidation>
  </dataValidations>
  <pageMargins left="0.7" right="0.7" top="0.75" bottom="0.75" header="0.3" footer="0.3"/>
  <pageSetup orientation="portrait" r:id="rId1"/>
  <ignoredErrors>
    <ignoredError sqref="E22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PULSE or CW only" xr:uid="{60FEE0EA-E56B-4987-8313-D9F4A288BC51}">
          <x14:formula1>
            <xm:f>'Sensor Data'!$A$19:$A$20</xm:f>
          </x14:formula1>
          <xm:sqref>B13</xm:sqref>
        </x14:dataValidation>
        <x14:dataValidation type="list" showInputMessage="1" showErrorMessage="1" error="Please only select from list." xr:uid="{91714414-D466-451F-B254-4A82B2D6CA33}">
          <x14:formula1>
            <xm:f>'Sensor Data'!$P$2:$P$8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73"/>
  <sheetViews>
    <sheetView workbookViewId="0">
      <pane ySplit="1" topLeftCell="A5" activePane="bottomLeft" state="frozen"/>
      <selection activeCell="C8" sqref="C8"/>
      <selection pane="bottomLeft" activeCell="C8" sqref="C8"/>
    </sheetView>
  </sheetViews>
  <sheetFormatPr defaultRowHeight="14.5" x14ac:dyDescent="0.35"/>
  <cols>
    <col min="1" max="1" width="27.453125" style="56" bestFit="1" customWidth="1"/>
    <col min="2" max="2" width="9.1796875" style="56"/>
    <col min="12" max="15" width="8.7265625" style="1"/>
  </cols>
  <sheetData>
    <row r="1" spans="1:16" x14ac:dyDescent="0.35">
      <c r="B1" s="123" t="s">
        <v>55</v>
      </c>
      <c r="C1" s="123"/>
      <c r="D1" s="121" t="s">
        <v>56</v>
      </c>
      <c r="E1" s="121"/>
      <c r="F1" s="123" t="s">
        <v>57</v>
      </c>
      <c r="G1" s="123"/>
      <c r="H1" s="121" t="s">
        <v>58</v>
      </c>
      <c r="I1" s="121"/>
      <c r="J1" s="123" t="s">
        <v>59</v>
      </c>
      <c r="K1" s="123"/>
      <c r="L1" s="121" t="s">
        <v>84</v>
      </c>
      <c r="M1" s="121"/>
      <c r="N1" s="122" t="s">
        <v>85</v>
      </c>
      <c r="O1" s="122"/>
      <c r="P1" t="s">
        <v>63</v>
      </c>
    </row>
    <row r="2" spans="1:16" x14ac:dyDescent="0.35">
      <c r="A2" s="56" t="s">
        <v>26</v>
      </c>
      <c r="B2" s="58"/>
      <c r="C2" s="58"/>
      <c r="F2" s="58"/>
      <c r="G2" s="58"/>
      <c r="J2" s="58"/>
      <c r="K2" s="58"/>
      <c r="N2" s="75"/>
      <c r="O2" s="75"/>
      <c r="P2" t="str">
        <f>B1</f>
        <v>RTP5006</v>
      </c>
    </row>
    <row r="3" spans="1:16" x14ac:dyDescent="0.35">
      <c r="A3" s="56" t="s">
        <v>27</v>
      </c>
      <c r="B3" s="58"/>
      <c r="C3" s="64">
        <v>0.05</v>
      </c>
      <c r="D3" s="61"/>
      <c r="E3" s="62">
        <v>0.05</v>
      </c>
      <c r="F3" s="64"/>
      <c r="G3" s="64">
        <v>0.05</v>
      </c>
      <c r="H3" s="61"/>
      <c r="I3" s="62">
        <v>0.05</v>
      </c>
      <c r="J3" s="64"/>
      <c r="K3" s="64">
        <v>0.05</v>
      </c>
      <c r="M3" s="61">
        <v>0.05</v>
      </c>
      <c r="N3" s="75"/>
      <c r="O3" s="76">
        <v>6</v>
      </c>
      <c r="P3" t="str">
        <f>D1</f>
        <v>RTP5318</v>
      </c>
    </row>
    <row r="4" spans="1:16" x14ac:dyDescent="0.35">
      <c r="A4" s="56" t="s">
        <v>28</v>
      </c>
      <c r="B4" s="58"/>
      <c r="C4" s="64">
        <v>6</v>
      </c>
      <c r="D4" s="61"/>
      <c r="E4" s="61">
        <v>18</v>
      </c>
      <c r="F4" s="64"/>
      <c r="G4" s="64">
        <v>18</v>
      </c>
      <c r="H4" s="61"/>
      <c r="I4" s="61">
        <v>40</v>
      </c>
      <c r="J4" s="64"/>
      <c r="K4" s="64">
        <v>40</v>
      </c>
      <c r="M4" s="61">
        <v>6</v>
      </c>
      <c r="N4" s="75"/>
      <c r="O4" s="76">
        <v>8</v>
      </c>
      <c r="P4" t="str">
        <f>F1</f>
        <v>RTP5518</v>
      </c>
    </row>
    <row r="5" spans="1:16" x14ac:dyDescent="0.35">
      <c r="A5" s="56" t="s">
        <v>29</v>
      </c>
      <c r="B5" s="58"/>
      <c r="C5" s="64"/>
      <c r="D5" s="61"/>
      <c r="E5" s="61"/>
      <c r="F5" s="64"/>
      <c r="G5" s="64"/>
      <c r="H5" s="61"/>
      <c r="I5" s="61"/>
      <c r="J5" s="64"/>
      <c r="K5" s="64"/>
      <c r="M5" s="61"/>
      <c r="N5" s="75"/>
      <c r="O5" s="76"/>
      <c r="P5" t="str">
        <f>H1</f>
        <v>RTP5340</v>
      </c>
    </row>
    <row r="6" spans="1:16" x14ac:dyDescent="0.35">
      <c r="A6" s="56" t="s">
        <v>30</v>
      </c>
      <c r="B6" s="58"/>
      <c r="C6" s="64"/>
      <c r="D6" s="61"/>
      <c r="E6" s="61"/>
      <c r="F6" s="64"/>
      <c r="G6" s="64"/>
      <c r="H6" s="61"/>
      <c r="I6" s="61"/>
      <c r="J6" s="64"/>
      <c r="K6" s="64"/>
      <c r="M6" s="61"/>
      <c r="N6" s="75"/>
      <c r="O6" s="76"/>
      <c r="P6" t="str">
        <f>J1</f>
        <v>RTP5540</v>
      </c>
    </row>
    <row r="7" spans="1:16" x14ac:dyDescent="0.35">
      <c r="A7" s="56" t="s">
        <v>31</v>
      </c>
      <c r="B7" s="58"/>
      <c r="C7" s="64">
        <v>-50</v>
      </c>
      <c r="D7" s="61"/>
      <c r="E7" s="62">
        <v>-24</v>
      </c>
      <c r="F7" s="64"/>
      <c r="G7" s="64">
        <v>-40</v>
      </c>
      <c r="H7" s="61"/>
      <c r="I7" s="62">
        <v>-24</v>
      </c>
      <c r="J7" s="64"/>
      <c r="K7" s="64">
        <v>-40</v>
      </c>
      <c r="M7" s="61">
        <v>-50</v>
      </c>
      <c r="N7" s="75"/>
      <c r="O7" s="76">
        <v>-43</v>
      </c>
      <c r="P7" s="1" t="s">
        <v>86</v>
      </c>
    </row>
    <row r="8" spans="1:16" x14ac:dyDescent="0.35">
      <c r="A8" s="56" t="s">
        <v>32</v>
      </c>
      <c r="B8" s="58"/>
      <c r="C8" s="64">
        <v>20</v>
      </c>
      <c r="D8" s="61"/>
      <c r="E8" s="62">
        <v>20</v>
      </c>
      <c r="F8" s="64"/>
      <c r="G8" s="64">
        <v>20</v>
      </c>
      <c r="H8" s="61"/>
      <c r="I8" s="62">
        <v>20</v>
      </c>
      <c r="J8" s="64"/>
      <c r="K8" s="64">
        <v>20</v>
      </c>
      <c r="M8" s="61">
        <v>20</v>
      </c>
      <c r="N8" s="75"/>
      <c r="O8" s="76">
        <v>20</v>
      </c>
      <c r="P8" s="1" t="s">
        <v>85</v>
      </c>
    </row>
    <row r="9" spans="1:16" x14ac:dyDescent="0.35">
      <c r="A9" s="56" t="s">
        <v>36</v>
      </c>
      <c r="B9" s="58"/>
      <c r="C9" s="64"/>
      <c r="D9" s="61"/>
      <c r="E9" s="62"/>
      <c r="F9" s="64"/>
      <c r="G9" s="64"/>
      <c r="H9" s="61"/>
      <c r="I9" s="62"/>
      <c r="J9" s="64"/>
      <c r="K9" s="64"/>
      <c r="M9" s="61"/>
      <c r="N9" s="75"/>
      <c r="O9" s="76"/>
    </row>
    <row r="10" spans="1:16" x14ac:dyDescent="0.35">
      <c r="A10" s="56" t="s">
        <v>31</v>
      </c>
      <c r="B10" s="58"/>
      <c r="C10" s="64">
        <v>-60</v>
      </c>
      <c r="D10" s="61"/>
      <c r="E10" s="62">
        <v>-34</v>
      </c>
      <c r="F10" s="64"/>
      <c r="G10" s="64">
        <v>-50</v>
      </c>
      <c r="H10" s="61"/>
      <c r="I10" s="62">
        <v>-34</v>
      </c>
      <c r="J10" s="64"/>
      <c r="K10" s="64">
        <v>-50</v>
      </c>
      <c r="M10" s="61">
        <v>-60</v>
      </c>
      <c r="N10" s="75"/>
      <c r="O10" s="76">
        <v>-53</v>
      </c>
    </row>
    <row r="11" spans="1:16" x14ac:dyDescent="0.35">
      <c r="A11" s="56" t="s">
        <v>32</v>
      </c>
      <c r="B11" s="58"/>
      <c r="C11" s="64">
        <v>20</v>
      </c>
      <c r="D11" s="61"/>
      <c r="E11" s="62">
        <v>20</v>
      </c>
      <c r="F11" s="64"/>
      <c r="G11" s="64">
        <v>20</v>
      </c>
      <c r="H11" s="61"/>
      <c r="I11" s="62">
        <v>20</v>
      </c>
      <c r="J11" s="64"/>
      <c r="K11" s="64">
        <v>20</v>
      </c>
      <c r="M11" s="61">
        <v>20</v>
      </c>
      <c r="N11" s="75"/>
      <c r="O11" s="76">
        <v>20</v>
      </c>
    </row>
    <row r="12" spans="1:16" x14ac:dyDescent="0.35">
      <c r="A12" s="56" t="s">
        <v>2</v>
      </c>
      <c r="B12" s="58"/>
      <c r="C12" s="58"/>
      <c r="F12" s="58"/>
      <c r="G12" s="58"/>
      <c r="J12" s="58"/>
      <c r="K12" s="58"/>
      <c r="N12" s="75"/>
      <c r="O12" s="75"/>
    </row>
    <row r="13" spans="1:16" s="1" customFormat="1" x14ac:dyDescent="0.35">
      <c r="B13" s="58">
        <v>0.05</v>
      </c>
      <c r="C13" s="58">
        <v>1.25</v>
      </c>
      <c r="D13" s="56">
        <v>0.05</v>
      </c>
      <c r="E13" s="1">
        <v>1.1499999999999999</v>
      </c>
      <c r="F13" s="58">
        <v>0.05</v>
      </c>
      <c r="G13" s="58">
        <v>1.1499999999999999</v>
      </c>
      <c r="H13" s="56">
        <v>0.05</v>
      </c>
      <c r="I13" s="56">
        <v>1.25</v>
      </c>
      <c r="J13" s="58">
        <v>0.05</v>
      </c>
      <c r="K13" s="58">
        <v>1.25</v>
      </c>
      <c r="L13" s="1">
        <v>0.05</v>
      </c>
      <c r="M13" s="61">
        <v>1.2</v>
      </c>
      <c r="N13" s="75">
        <v>0.05</v>
      </c>
      <c r="O13" s="76">
        <v>1.2</v>
      </c>
    </row>
    <row r="14" spans="1:16" s="1" customFormat="1" x14ac:dyDescent="0.35">
      <c r="B14" s="58">
        <v>6</v>
      </c>
      <c r="C14" s="65">
        <v>1.25</v>
      </c>
      <c r="D14" s="1">
        <v>2</v>
      </c>
      <c r="E14" s="61">
        <v>1.1499999999999999</v>
      </c>
      <c r="F14" s="58">
        <v>2</v>
      </c>
      <c r="G14" s="64">
        <v>1.1499999999999999</v>
      </c>
      <c r="H14" s="1">
        <v>4</v>
      </c>
      <c r="I14" s="62">
        <v>1.25</v>
      </c>
      <c r="J14" s="58">
        <v>4</v>
      </c>
      <c r="K14" s="64">
        <v>1.25</v>
      </c>
      <c r="L14" s="1">
        <v>6</v>
      </c>
      <c r="M14" s="61">
        <v>1.2</v>
      </c>
      <c r="N14" s="75">
        <v>6</v>
      </c>
      <c r="O14" s="76">
        <v>1.2</v>
      </c>
    </row>
    <row r="15" spans="1:16" s="1" customFormat="1" x14ac:dyDescent="0.35">
      <c r="A15" s="56"/>
      <c r="B15" s="58"/>
      <c r="C15" s="58"/>
      <c r="D15" s="1">
        <v>16</v>
      </c>
      <c r="E15" s="61">
        <v>1.28</v>
      </c>
      <c r="F15" s="58">
        <v>6</v>
      </c>
      <c r="G15" s="65">
        <v>1.2</v>
      </c>
      <c r="H15" s="1">
        <v>38</v>
      </c>
      <c r="I15" s="62">
        <v>1.65</v>
      </c>
      <c r="J15" s="58">
        <v>38</v>
      </c>
      <c r="K15" s="64">
        <v>1.65</v>
      </c>
      <c r="M15" s="61"/>
      <c r="N15" s="75">
        <v>8</v>
      </c>
      <c r="O15" s="76">
        <v>1.25</v>
      </c>
    </row>
    <row r="16" spans="1:16" x14ac:dyDescent="0.35">
      <c r="B16" s="58"/>
      <c r="C16" s="58"/>
      <c r="D16">
        <v>18</v>
      </c>
      <c r="E16" s="61">
        <v>1.34</v>
      </c>
      <c r="F16" s="58">
        <v>16</v>
      </c>
      <c r="G16" s="64">
        <v>1.28</v>
      </c>
      <c r="H16">
        <v>40</v>
      </c>
      <c r="I16" s="63">
        <v>2</v>
      </c>
      <c r="J16" s="58">
        <v>40</v>
      </c>
      <c r="K16" s="65">
        <v>2</v>
      </c>
      <c r="L16" s="77"/>
      <c r="M16" s="78"/>
      <c r="N16" s="79"/>
      <c r="O16" s="80"/>
    </row>
    <row r="17" spans="1:23" x14ac:dyDescent="0.35">
      <c r="B17" s="58"/>
      <c r="C17" s="58"/>
      <c r="F17" s="58">
        <v>18</v>
      </c>
      <c r="G17" s="65">
        <v>1.34</v>
      </c>
      <c r="J17" s="58"/>
      <c r="K17" s="58"/>
      <c r="N17" s="75"/>
      <c r="O17" s="75"/>
    </row>
    <row r="18" spans="1:23" x14ac:dyDescent="0.35">
      <c r="A18" s="56" t="s">
        <v>35</v>
      </c>
      <c r="B18" s="58"/>
      <c r="C18" s="58"/>
      <c r="F18" s="58"/>
      <c r="G18" s="58"/>
      <c r="J18" s="58"/>
      <c r="K18" s="58"/>
      <c r="N18" s="75"/>
      <c r="O18" s="75"/>
    </row>
    <row r="19" spans="1:23" x14ac:dyDescent="0.35">
      <c r="A19" s="1" t="s">
        <v>76</v>
      </c>
      <c r="B19" s="58" t="s">
        <v>64</v>
      </c>
      <c r="C19" s="64">
        <v>10</v>
      </c>
      <c r="D19" s="1" t="s">
        <v>64</v>
      </c>
      <c r="E19" s="62">
        <v>4000</v>
      </c>
      <c r="F19" s="58" t="s">
        <v>64</v>
      </c>
      <c r="G19" s="64">
        <v>50</v>
      </c>
      <c r="H19" s="1" t="s">
        <v>64</v>
      </c>
      <c r="I19" s="62">
        <v>4000</v>
      </c>
      <c r="J19" s="58" t="s">
        <v>64</v>
      </c>
      <c r="K19" s="64">
        <v>50</v>
      </c>
      <c r="L19" s="1" t="s">
        <v>64</v>
      </c>
      <c r="M19" s="61">
        <v>10</v>
      </c>
      <c r="N19" s="75" t="s">
        <v>64</v>
      </c>
      <c r="O19" s="76">
        <v>40</v>
      </c>
    </row>
    <row r="20" spans="1:23" x14ac:dyDescent="0.35">
      <c r="A20" s="56" t="s">
        <v>77</v>
      </c>
      <c r="B20" s="58" t="s">
        <v>36</v>
      </c>
      <c r="C20" s="64">
        <v>1</v>
      </c>
      <c r="D20" s="56" t="s">
        <v>36</v>
      </c>
      <c r="E20" s="62">
        <v>400</v>
      </c>
      <c r="F20" s="58" t="s">
        <v>36</v>
      </c>
      <c r="G20" s="64">
        <v>5</v>
      </c>
      <c r="H20" s="56" t="s">
        <v>36</v>
      </c>
      <c r="I20" s="62">
        <v>400</v>
      </c>
      <c r="J20" s="58" t="s">
        <v>36</v>
      </c>
      <c r="K20" s="64">
        <v>5</v>
      </c>
      <c r="L20" s="1" t="s">
        <v>36</v>
      </c>
      <c r="M20" s="61">
        <v>1</v>
      </c>
      <c r="N20" s="75" t="s">
        <v>36</v>
      </c>
      <c r="O20" s="76">
        <v>4</v>
      </c>
    </row>
    <row r="21" spans="1:23" x14ac:dyDescent="0.35">
      <c r="A21" s="56" t="s">
        <v>39</v>
      </c>
      <c r="B21" s="58">
        <v>0.5</v>
      </c>
      <c r="C21" s="66">
        <v>2.2999999999999998</v>
      </c>
      <c r="D21" s="56">
        <v>0.5</v>
      </c>
      <c r="E21" s="67">
        <v>2.2999999999999998</v>
      </c>
      <c r="F21" s="58">
        <v>0.5</v>
      </c>
      <c r="G21" s="66">
        <v>4</v>
      </c>
      <c r="H21" s="56">
        <v>0.5</v>
      </c>
      <c r="I21" s="67">
        <v>2.2999999999999998</v>
      </c>
      <c r="J21" s="58">
        <v>0.5</v>
      </c>
      <c r="K21" s="66">
        <v>4.7</v>
      </c>
      <c r="L21" s="1">
        <v>0.5</v>
      </c>
      <c r="M21" s="61">
        <v>2.2999999999999998</v>
      </c>
      <c r="N21" s="75">
        <v>0.5</v>
      </c>
      <c r="O21" s="81">
        <v>3.5</v>
      </c>
    </row>
    <row r="22" spans="1:23" x14ac:dyDescent="0.35">
      <c r="A22" s="56" t="s">
        <v>33</v>
      </c>
      <c r="B22" s="58" t="s">
        <v>61</v>
      </c>
      <c r="C22" s="58"/>
      <c r="F22" s="58"/>
      <c r="G22" s="58"/>
      <c r="J22" s="58"/>
      <c r="K22" s="58"/>
      <c r="N22" s="75"/>
      <c r="O22" s="75"/>
    </row>
    <row r="23" spans="1:23" s="1" customFormat="1" x14ac:dyDescent="0.35">
      <c r="A23" s="56" t="s">
        <v>34</v>
      </c>
      <c r="B23" s="59"/>
      <c r="C23" s="58"/>
      <c r="F23" s="58"/>
      <c r="G23" s="58"/>
      <c r="J23" s="58"/>
      <c r="K23" s="58"/>
      <c r="N23" s="75"/>
      <c r="O23" s="75"/>
      <c r="R23" s="56"/>
      <c r="S23" s="56"/>
      <c r="T23" s="56"/>
      <c r="U23" s="56"/>
      <c r="V23" s="56"/>
      <c r="W23" s="56"/>
    </row>
    <row r="24" spans="1:23" s="1" customFormat="1" x14ac:dyDescent="0.35">
      <c r="A24" s="56"/>
      <c r="B24" s="58">
        <v>0.5</v>
      </c>
      <c r="C24" s="68">
        <v>1.4</v>
      </c>
      <c r="D24" s="56">
        <v>0.5</v>
      </c>
      <c r="E24" s="61">
        <v>1.4</v>
      </c>
      <c r="F24" s="58">
        <v>0.5</v>
      </c>
      <c r="G24" s="68">
        <v>1</v>
      </c>
      <c r="H24" s="56">
        <v>0.5</v>
      </c>
      <c r="I24" s="69">
        <v>1.7</v>
      </c>
      <c r="J24" s="58">
        <v>0.5</v>
      </c>
      <c r="K24" s="68">
        <v>1.5</v>
      </c>
      <c r="L24" s="1">
        <v>0.5</v>
      </c>
      <c r="M24" s="61">
        <f t="shared" ref="M24:M30" si="0">O24</f>
        <v>1.4</v>
      </c>
      <c r="N24" s="75">
        <v>0.5</v>
      </c>
      <c r="O24" s="82">
        <v>1.4</v>
      </c>
      <c r="R24" s="56"/>
      <c r="S24" s="56"/>
      <c r="T24" s="56"/>
      <c r="U24" s="56"/>
      <c r="V24" s="56"/>
      <c r="W24" s="56"/>
    </row>
    <row r="25" spans="1:23" s="1" customFormat="1" x14ac:dyDescent="0.35">
      <c r="A25" s="56"/>
      <c r="B25" s="58">
        <v>1</v>
      </c>
      <c r="C25" s="68">
        <v>1.4</v>
      </c>
      <c r="D25" s="56">
        <v>1</v>
      </c>
      <c r="E25" s="61">
        <v>1.4</v>
      </c>
      <c r="F25" s="58">
        <v>1</v>
      </c>
      <c r="G25" s="68">
        <v>1.1000000000000001</v>
      </c>
      <c r="H25" s="56">
        <v>1</v>
      </c>
      <c r="I25" s="69">
        <v>1.3</v>
      </c>
      <c r="J25" s="58">
        <v>1</v>
      </c>
      <c r="K25" s="68">
        <v>1.1000000000000001</v>
      </c>
      <c r="L25" s="1">
        <v>1</v>
      </c>
      <c r="M25" s="61">
        <f t="shared" si="0"/>
        <v>1.4</v>
      </c>
      <c r="N25" s="75">
        <v>1</v>
      </c>
      <c r="O25" s="82">
        <v>1.4</v>
      </c>
      <c r="R25" s="56"/>
      <c r="S25" s="56"/>
      <c r="T25" s="56"/>
      <c r="U25" s="56"/>
      <c r="V25" s="56"/>
      <c r="W25" s="56"/>
    </row>
    <row r="26" spans="1:23" s="1" customFormat="1" x14ac:dyDescent="0.35">
      <c r="A26" s="56"/>
      <c r="B26" s="58">
        <v>2</v>
      </c>
      <c r="C26" s="68">
        <v>1.4</v>
      </c>
      <c r="D26" s="56">
        <v>2</v>
      </c>
      <c r="E26" s="61">
        <v>1.4</v>
      </c>
      <c r="F26" s="58">
        <v>2</v>
      </c>
      <c r="G26" s="68">
        <v>1.5</v>
      </c>
      <c r="H26" s="56">
        <v>2</v>
      </c>
      <c r="I26" s="69">
        <v>1.3</v>
      </c>
      <c r="J26" s="58">
        <v>2</v>
      </c>
      <c r="K26" s="68">
        <v>1.2</v>
      </c>
      <c r="L26" s="1">
        <v>2</v>
      </c>
      <c r="M26" s="61">
        <f t="shared" si="0"/>
        <v>1.4</v>
      </c>
      <c r="N26" s="75">
        <v>2</v>
      </c>
      <c r="O26" s="82">
        <v>1.4</v>
      </c>
      <c r="R26" s="56"/>
      <c r="S26" s="56"/>
      <c r="T26" s="56"/>
      <c r="U26" s="56"/>
      <c r="V26" s="56"/>
      <c r="W26" s="56"/>
    </row>
    <row r="27" spans="1:23" s="1" customFormat="1" x14ac:dyDescent="0.35">
      <c r="A27" s="56"/>
      <c r="B27" s="58">
        <v>3</v>
      </c>
      <c r="C27" s="68">
        <v>1.5</v>
      </c>
      <c r="D27" s="56">
        <v>3</v>
      </c>
      <c r="E27" s="61">
        <v>1.4</v>
      </c>
      <c r="F27" s="58">
        <v>3</v>
      </c>
      <c r="G27" s="68">
        <v>1.5</v>
      </c>
      <c r="H27" s="56">
        <v>3</v>
      </c>
      <c r="I27" s="69">
        <v>1.5</v>
      </c>
      <c r="J27" s="58">
        <v>3</v>
      </c>
      <c r="K27" s="68">
        <v>1.3</v>
      </c>
      <c r="L27" s="1">
        <v>3</v>
      </c>
      <c r="M27" s="61">
        <f t="shared" si="0"/>
        <v>1.5</v>
      </c>
      <c r="N27" s="75">
        <v>3</v>
      </c>
      <c r="O27" s="82">
        <v>1.5</v>
      </c>
      <c r="R27" s="56"/>
      <c r="S27" s="56"/>
      <c r="T27" s="56"/>
      <c r="U27" s="56"/>
      <c r="V27" s="56"/>
      <c r="W27" s="56"/>
    </row>
    <row r="28" spans="1:23" s="1" customFormat="1" x14ac:dyDescent="0.35">
      <c r="A28" s="56"/>
      <c r="B28" s="58">
        <v>4</v>
      </c>
      <c r="C28" s="68">
        <v>1.5</v>
      </c>
      <c r="D28" s="56">
        <v>4</v>
      </c>
      <c r="E28" s="61">
        <v>1.5</v>
      </c>
      <c r="F28" s="58">
        <v>4</v>
      </c>
      <c r="G28" s="68">
        <v>1.3</v>
      </c>
      <c r="H28" s="56">
        <v>4</v>
      </c>
      <c r="I28" s="69">
        <v>1.7</v>
      </c>
      <c r="J28" s="58">
        <v>4</v>
      </c>
      <c r="K28" s="68">
        <v>1.5</v>
      </c>
      <c r="L28" s="1">
        <v>4</v>
      </c>
      <c r="M28" s="61">
        <f t="shared" si="0"/>
        <v>1.5</v>
      </c>
      <c r="N28" s="75">
        <v>4</v>
      </c>
      <c r="O28" s="82">
        <v>1.5</v>
      </c>
      <c r="R28" s="56"/>
      <c r="S28" s="56"/>
      <c r="T28" s="56"/>
      <c r="U28" s="56"/>
      <c r="V28" s="56"/>
      <c r="W28" s="56"/>
    </row>
    <row r="29" spans="1:23" s="1" customFormat="1" x14ac:dyDescent="0.35">
      <c r="A29" s="56"/>
      <c r="B29" s="58">
        <v>5</v>
      </c>
      <c r="C29" s="68">
        <v>1.5</v>
      </c>
      <c r="D29" s="56">
        <v>5</v>
      </c>
      <c r="E29" s="61">
        <v>1.5</v>
      </c>
      <c r="F29" s="58">
        <v>5</v>
      </c>
      <c r="G29" s="68">
        <v>1.7</v>
      </c>
      <c r="H29" s="56">
        <v>5</v>
      </c>
      <c r="I29" s="69">
        <v>1.8</v>
      </c>
      <c r="J29" s="58">
        <v>5</v>
      </c>
      <c r="K29" s="68">
        <v>1.5</v>
      </c>
      <c r="L29" s="1">
        <v>5</v>
      </c>
      <c r="M29" s="61">
        <f t="shared" si="0"/>
        <v>1.5</v>
      </c>
      <c r="N29" s="75">
        <v>5</v>
      </c>
      <c r="O29" s="82">
        <v>1.5</v>
      </c>
      <c r="R29" s="56"/>
      <c r="S29" s="56"/>
      <c r="T29" s="56"/>
      <c r="U29" s="56"/>
      <c r="V29" s="56"/>
      <c r="W29" s="56"/>
    </row>
    <row r="30" spans="1:23" s="1" customFormat="1" x14ac:dyDescent="0.35">
      <c r="A30" s="56"/>
      <c r="B30" s="58">
        <v>6</v>
      </c>
      <c r="C30" s="68">
        <v>1.5</v>
      </c>
      <c r="D30" s="56">
        <v>6</v>
      </c>
      <c r="E30" s="61">
        <v>1.5</v>
      </c>
      <c r="F30" s="58">
        <v>6</v>
      </c>
      <c r="G30" s="68">
        <v>1.5</v>
      </c>
      <c r="H30" s="56">
        <v>6</v>
      </c>
      <c r="I30" s="69">
        <v>2</v>
      </c>
      <c r="J30" s="58">
        <v>6</v>
      </c>
      <c r="K30" s="68">
        <v>1.6</v>
      </c>
      <c r="L30" s="1">
        <v>6</v>
      </c>
      <c r="M30" s="61">
        <f t="shared" si="0"/>
        <v>1.5</v>
      </c>
      <c r="N30" s="75">
        <v>6</v>
      </c>
      <c r="O30" s="82">
        <v>1.5</v>
      </c>
      <c r="R30" s="56"/>
      <c r="S30" s="56"/>
      <c r="T30" s="56"/>
      <c r="U30" s="56"/>
      <c r="V30" s="56"/>
      <c r="W30" s="56"/>
    </row>
    <row r="31" spans="1:23" s="1" customFormat="1" x14ac:dyDescent="0.35">
      <c r="A31" s="56"/>
      <c r="B31" s="59"/>
      <c r="C31" s="60"/>
      <c r="D31" s="56">
        <v>7</v>
      </c>
      <c r="E31" s="61">
        <v>1.5</v>
      </c>
      <c r="F31" s="58">
        <v>7</v>
      </c>
      <c r="G31" s="68">
        <v>1.1000000000000001</v>
      </c>
      <c r="H31" s="56">
        <v>7</v>
      </c>
      <c r="I31" s="69">
        <v>2.2999999999999998</v>
      </c>
      <c r="J31" s="58">
        <v>7</v>
      </c>
      <c r="K31" s="68">
        <v>1.9</v>
      </c>
      <c r="M31" s="70"/>
      <c r="N31" s="75">
        <v>7</v>
      </c>
      <c r="O31" s="82">
        <v>1.7</v>
      </c>
      <c r="R31" s="56"/>
      <c r="S31" s="56"/>
      <c r="T31" s="56"/>
      <c r="U31" s="56"/>
      <c r="V31" s="56"/>
      <c r="W31" s="56"/>
    </row>
    <row r="32" spans="1:23" s="1" customFormat="1" x14ac:dyDescent="0.35">
      <c r="A32" s="56"/>
      <c r="B32" s="59"/>
      <c r="C32" s="60"/>
      <c r="D32" s="56">
        <v>8</v>
      </c>
      <c r="E32" s="61">
        <v>1.6</v>
      </c>
      <c r="F32" s="58">
        <v>8</v>
      </c>
      <c r="G32" s="68">
        <v>1.1000000000000001</v>
      </c>
      <c r="H32" s="56">
        <v>8</v>
      </c>
      <c r="I32" s="69">
        <v>2.6</v>
      </c>
      <c r="J32" s="58">
        <v>8</v>
      </c>
      <c r="K32" s="68">
        <v>2.2000000000000002</v>
      </c>
      <c r="M32" s="70"/>
      <c r="N32" s="75">
        <v>8</v>
      </c>
      <c r="O32" s="82">
        <v>1.7</v>
      </c>
      <c r="R32" s="56"/>
      <c r="S32" s="56"/>
      <c r="T32" s="56"/>
      <c r="U32" s="56"/>
      <c r="V32" s="56"/>
      <c r="W32" s="56"/>
    </row>
    <row r="33" spans="1:23" s="1" customFormat="1" x14ac:dyDescent="0.35">
      <c r="A33" s="56"/>
      <c r="B33" s="59"/>
      <c r="C33" s="60"/>
      <c r="D33" s="56">
        <v>9</v>
      </c>
      <c r="E33" s="61">
        <v>1.5</v>
      </c>
      <c r="F33" s="58">
        <v>9</v>
      </c>
      <c r="G33" s="68">
        <v>1.7</v>
      </c>
      <c r="H33" s="56">
        <v>9</v>
      </c>
      <c r="I33" s="69">
        <v>4.4000000000000004</v>
      </c>
      <c r="J33" s="58">
        <v>9</v>
      </c>
      <c r="K33" s="68">
        <v>3.8</v>
      </c>
      <c r="L33" s="83"/>
      <c r="M33" s="70"/>
      <c r="N33" s="84"/>
      <c r="O33" s="82"/>
      <c r="R33" s="56"/>
      <c r="S33" s="56"/>
      <c r="T33" s="56"/>
      <c r="U33" s="56"/>
      <c r="V33" s="56"/>
      <c r="W33" s="56"/>
    </row>
    <row r="34" spans="1:23" s="1" customFormat="1" x14ac:dyDescent="0.35">
      <c r="A34" s="56"/>
      <c r="B34" s="59"/>
      <c r="C34" s="60"/>
      <c r="D34" s="56">
        <v>10</v>
      </c>
      <c r="E34" s="61">
        <v>1.5</v>
      </c>
      <c r="F34" s="58">
        <v>10</v>
      </c>
      <c r="G34" s="68">
        <v>2.2000000000000002</v>
      </c>
      <c r="H34" s="56">
        <v>10</v>
      </c>
      <c r="I34" s="69">
        <v>4.7</v>
      </c>
      <c r="J34" s="58">
        <v>10</v>
      </c>
      <c r="K34" s="68">
        <v>4.0999999999999996</v>
      </c>
      <c r="L34" s="83"/>
      <c r="M34" s="70"/>
      <c r="N34" s="84"/>
      <c r="O34" s="82"/>
      <c r="R34" s="56"/>
      <c r="S34" s="56"/>
      <c r="T34" s="56"/>
      <c r="U34" s="56"/>
      <c r="V34" s="56"/>
      <c r="W34" s="56"/>
    </row>
    <row r="35" spans="1:23" s="1" customFormat="1" x14ac:dyDescent="0.35">
      <c r="A35" s="56"/>
      <c r="B35" s="59"/>
      <c r="C35" s="60"/>
      <c r="D35" s="56">
        <v>11</v>
      </c>
      <c r="E35" s="61">
        <v>1.6</v>
      </c>
      <c r="F35" s="58">
        <v>11</v>
      </c>
      <c r="G35" s="68">
        <v>2.5</v>
      </c>
      <c r="H35" s="56">
        <v>11</v>
      </c>
      <c r="I35" s="69">
        <v>5</v>
      </c>
      <c r="J35" s="58">
        <v>11</v>
      </c>
      <c r="K35" s="68">
        <v>4.4000000000000004</v>
      </c>
      <c r="L35" s="83"/>
      <c r="M35" s="70"/>
      <c r="N35" s="84"/>
      <c r="O35" s="82"/>
      <c r="R35" s="56"/>
      <c r="S35" s="56"/>
      <c r="T35" s="56"/>
      <c r="U35" s="56"/>
      <c r="V35" s="56"/>
      <c r="W35" s="56"/>
    </row>
    <row r="36" spans="1:23" s="1" customFormat="1" x14ac:dyDescent="0.35">
      <c r="A36" s="56"/>
      <c r="B36" s="59"/>
      <c r="C36" s="60"/>
      <c r="D36" s="56">
        <v>12</v>
      </c>
      <c r="E36" s="61">
        <v>1.7</v>
      </c>
      <c r="F36" s="58">
        <v>12</v>
      </c>
      <c r="G36" s="68">
        <v>2.4</v>
      </c>
      <c r="H36" s="56">
        <v>12</v>
      </c>
      <c r="I36" s="69">
        <v>5</v>
      </c>
      <c r="J36" s="58">
        <v>12</v>
      </c>
      <c r="K36" s="68">
        <v>4.4000000000000004</v>
      </c>
      <c r="L36" s="83"/>
      <c r="M36" s="70"/>
      <c r="N36" s="84"/>
      <c r="O36" s="82"/>
      <c r="R36" s="56"/>
      <c r="S36" s="56"/>
      <c r="T36" s="56"/>
      <c r="U36" s="56"/>
      <c r="V36" s="56"/>
      <c r="W36" s="56"/>
    </row>
    <row r="37" spans="1:23" s="1" customFormat="1" x14ac:dyDescent="0.35">
      <c r="A37" s="56"/>
      <c r="B37" s="59"/>
      <c r="C37" s="60"/>
      <c r="D37" s="56">
        <v>13</v>
      </c>
      <c r="E37" s="61">
        <v>1.6</v>
      </c>
      <c r="F37" s="58">
        <v>13</v>
      </c>
      <c r="G37" s="68">
        <v>2.5</v>
      </c>
      <c r="H37" s="56">
        <v>13</v>
      </c>
      <c r="I37" s="69">
        <v>5</v>
      </c>
      <c r="J37" s="58">
        <v>13</v>
      </c>
      <c r="K37" s="68">
        <v>4.4000000000000004</v>
      </c>
      <c r="L37" s="83"/>
      <c r="M37" s="70"/>
      <c r="N37" s="84"/>
      <c r="O37" s="82"/>
      <c r="R37" s="56"/>
      <c r="S37" s="56"/>
      <c r="T37" s="56"/>
      <c r="U37" s="56"/>
      <c r="V37" s="56"/>
      <c r="W37" s="56"/>
    </row>
    <row r="38" spans="1:23" s="1" customFormat="1" x14ac:dyDescent="0.35">
      <c r="A38" s="56"/>
      <c r="B38" s="59"/>
      <c r="C38" s="60"/>
      <c r="D38" s="56">
        <v>14</v>
      </c>
      <c r="E38" s="61">
        <v>1.5</v>
      </c>
      <c r="F38" s="58">
        <v>14</v>
      </c>
      <c r="G38" s="68">
        <v>2.7</v>
      </c>
      <c r="H38" s="56">
        <v>14</v>
      </c>
      <c r="I38" s="69">
        <v>5</v>
      </c>
      <c r="J38" s="58">
        <v>14</v>
      </c>
      <c r="K38" s="68">
        <v>4.5</v>
      </c>
      <c r="L38" s="83"/>
      <c r="M38" s="70"/>
      <c r="N38" s="84"/>
      <c r="O38" s="82"/>
      <c r="R38" s="56"/>
      <c r="S38" s="56"/>
      <c r="T38" s="56"/>
      <c r="U38" s="56"/>
      <c r="V38" s="56"/>
      <c r="W38" s="56"/>
    </row>
    <row r="39" spans="1:23" s="1" customFormat="1" x14ac:dyDescent="0.35">
      <c r="A39" s="56"/>
      <c r="B39" s="59"/>
      <c r="C39" s="60"/>
      <c r="D39" s="56">
        <v>15</v>
      </c>
      <c r="E39" s="61">
        <v>1.6</v>
      </c>
      <c r="F39" s="58">
        <v>15</v>
      </c>
      <c r="G39" s="68">
        <v>2.5</v>
      </c>
      <c r="H39" s="56">
        <v>15</v>
      </c>
      <c r="I39" s="69">
        <v>4.5999999999999996</v>
      </c>
      <c r="J39" s="58">
        <v>15</v>
      </c>
      <c r="K39" s="68">
        <v>4.4000000000000004</v>
      </c>
      <c r="L39" s="83"/>
      <c r="M39" s="70"/>
      <c r="N39" s="84"/>
      <c r="O39" s="82"/>
      <c r="R39" s="56"/>
      <c r="S39" s="56"/>
      <c r="T39" s="56"/>
      <c r="U39" s="56"/>
      <c r="V39" s="56"/>
      <c r="W39" s="56"/>
    </row>
    <row r="40" spans="1:23" s="1" customFormat="1" x14ac:dyDescent="0.35">
      <c r="A40" s="56"/>
      <c r="B40" s="59"/>
      <c r="C40" s="60"/>
      <c r="D40" s="56">
        <v>16</v>
      </c>
      <c r="E40" s="61">
        <v>1.7</v>
      </c>
      <c r="F40" s="58">
        <v>16</v>
      </c>
      <c r="G40" s="68">
        <v>3</v>
      </c>
      <c r="H40" s="56">
        <v>16</v>
      </c>
      <c r="I40" s="69">
        <v>4.0999999999999996</v>
      </c>
      <c r="J40" s="58">
        <v>16</v>
      </c>
      <c r="K40" s="68">
        <v>4</v>
      </c>
      <c r="L40" s="83"/>
      <c r="M40" s="70"/>
      <c r="N40" s="84"/>
      <c r="O40" s="82"/>
      <c r="R40" s="56"/>
      <c r="S40" s="56"/>
      <c r="T40" s="56"/>
      <c r="U40" s="56"/>
      <c r="V40" s="56"/>
      <c r="W40" s="56"/>
    </row>
    <row r="41" spans="1:23" x14ac:dyDescent="0.35">
      <c r="B41" s="58"/>
      <c r="C41" s="60"/>
      <c r="D41" s="56">
        <v>17</v>
      </c>
      <c r="E41" s="61">
        <v>1.6</v>
      </c>
      <c r="F41" s="58">
        <v>17</v>
      </c>
      <c r="G41" s="68">
        <v>2.5</v>
      </c>
      <c r="H41" s="56">
        <v>17</v>
      </c>
      <c r="I41" s="69">
        <v>3.7</v>
      </c>
      <c r="J41" s="58">
        <v>17</v>
      </c>
      <c r="K41" s="68">
        <v>3.7</v>
      </c>
      <c r="L41" s="83"/>
      <c r="M41" s="70"/>
      <c r="N41" s="84"/>
      <c r="O41" s="82"/>
      <c r="R41" s="56"/>
      <c r="S41" s="56"/>
      <c r="T41" s="56"/>
      <c r="U41" s="56"/>
      <c r="V41" s="56"/>
      <c r="W41" s="56"/>
    </row>
    <row r="42" spans="1:23" s="1" customFormat="1" x14ac:dyDescent="0.35">
      <c r="A42" s="56"/>
      <c r="B42" s="58"/>
      <c r="C42" s="60"/>
      <c r="D42" s="56">
        <v>18</v>
      </c>
      <c r="E42" s="61">
        <v>1.6</v>
      </c>
      <c r="F42" s="58">
        <v>18</v>
      </c>
      <c r="G42" s="68">
        <v>2.4</v>
      </c>
      <c r="H42" s="56">
        <v>18</v>
      </c>
      <c r="I42" s="69">
        <v>3.5</v>
      </c>
      <c r="J42" s="58">
        <v>18</v>
      </c>
      <c r="K42" s="68">
        <v>3.7</v>
      </c>
      <c r="L42" s="83"/>
      <c r="M42" s="70"/>
      <c r="N42" s="84"/>
      <c r="O42" s="82"/>
      <c r="R42" s="56"/>
      <c r="S42" s="56"/>
      <c r="T42" s="56"/>
      <c r="U42" s="56"/>
      <c r="V42" s="56"/>
      <c r="W42" s="56"/>
    </row>
    <row r="43" spans="1:23" x14ac:dyDescent="0.35">
      <c r="B43" s="58"/>
      <c r="C43" s="58"/>
      <c r="F43" s="58"/>
      <c r="G43" s="58"/>
      <c r="H43" s="56">
        <v>19</v>
      </c>
      <c r="I43" s="69">
        <v>3.6</v>
      </c>
      <c r="J43" s="58">
        <v>19</v>
      </c>
      <c r="K43" s="68">
        <v>4.2</v>
      </c>
      <c r="L43" s="83"/>
      <c r="M43" s="70"/>
      <c r="N43" s="84"/>
      <c r="O43" s="82"/>
      <c r="R43" s="56"/>
      <c r="S43" s="56"/>
      <c r="T43" s="56"/>
      <c r="U43" s="56"/>
      <c r="V43" s="56"/>
      <c r="W43" s="56"/>
    </row>
    <row r="44" spans="1:23" x14ac:dyDescent="0.35">
      <c r="B44" s="58"/>
      <c r="C44" s="58"/>
      <c r="F44" s="58"/>
      <c r="G44" s="58"/>
      <c r="H44" s="56">
        <v>20</v>
      </c>
      <c r="I44" s="69">
        <v>3.7</v>
      </c>
      <c r="J44" s="58">
        <v>20</v>
      </c>
      <c r="K44" s="68">
        <v>4.4000000000000004</v>
      </c>
      <c r="L44" s="83"/>
      <c r="M44" s="70"/>
      <c r="N44" s="84"/>
      <c r="O44" s="82"/>
      <c r="R44" s="56"/>
      <c r="S44" s="56"/>
      <c r="T44" s="56"/>
      <c r="U44" s="56"/>
      <c r="V44" s="56"/>
      <c r="W44" s="56"/>
    </row>
    <row r="45" spans="1:23" s="1" customFormat="1" x14ac:dyDescent="0.35">
      <c r="A45" s="56"/>
      <c r="B45" s="58"/>
      <c r="C45" s="58"/>
      <c r="F45" s="58"/>
      <c r="G45" s="58"/>
      <c r="H45" s="56">
        <v>21</v>
      </c>
      <c r="I45" s="69">
        <v>4.2</v>
      </c>
      <c r="J45" s="58">
        <v>21</v>
      </c>
      <c r="K45" s="68">
        <v>4.5999999999999996</v>
      </c>
      <c r="L45" s="83"/>
      <c r="M45" s="70"/>
      <c r="N45" s="84"/>
      <c r="O45" s="82"/>
    </row>
    <row r="46" spans="1:23" x14ac:dyDescent="0.35">
      <c r="B46" s="58"/>
      <c r="C46" s="58"/>
      <c r="F46" s="58"/>
      <c r="G46" s="58"/>
      <c r="H46" s="56">
        <v>22</v>
      </c>
      <c r="I46" s="69">
        <v>4.5999999999999996</v>
      </c>
      <c r="J46" s="58">
        <v>22</v>
      </c>
      <c r="K46" s="68">
        <v>4.8</v>
      </c>
      <c r="L46" s="83"/>
      <c r="M46" s="70"/>
      <c r="N46" s="84"/>
      <c r="O46" s="82"/>
    </row>
    <row r="47" spans="1:23" x14ac:dyDescent="0.35">
      <c r="B47" s="58"/>
      <c r="C47" s="58"/>
      <c r="F47" s="58"/>
      <c r="G47" s="58"/>
      <c r="H47" s="56">
        <v>23</v>
      </c>
      <c r="I47" s="69">
        <v>4.8</v>
      </c>
      <c r="J47" s="58">
        <v>23</v>
      </c>
      <c r="K47" s="68">
        <v>5</v>
      </c>
      <c r="L47" s="83"/>
      <c r="M47" s="70"/>
      <c r="N47" s="84"/>
      <c r="O47" s="82"/>
    </row>
    <row r="48" spans="1:23" x14ac:dyDescent="0.35">
      <c r="B48" s="58"/>
      <c r="C48" s="58"/>
      <c r="F48" s="58"/>
      <c r="G48" s="58"/>
      <c r="H48" s="56">
        <v>24</v>
      </c>
      <c r="I48" s="69">
        <v>4.8</v>
      </c>
      <c r="J48" s="58">
        <v>24</v>
      </c>
      <c r="K48" s="68">
        <v>5.2</v>
      </c>
      <c r="L48" s="83"/>
      <c r="M48" s="70"/>
      <c r="N48" s="84"/>
      <c r="O48" s="82"/>
    </row>
    <row r="49" spans="2:15" x14ac:dyDescent="0.35">
      <c r="B49" s="58"/>
      <c r="C49" s="58"/>
      <c r="F49" s="58"/>
      <c r="G49" s="58"/>
      <c r="H49" s="56">
        <v>25</v>
      </c>
      <c r="I49" s="69">
        <v>4.8</v>
      </c>
      <c r="J49" s="58">
        <v>25</v>
      </c>
      <c r="K49" s="68">
        <v>4.9000000000000004</v>
      </c>
      <c r="L49" s="83"/>
      <c r="M49" s="70"/>
      <c r="N49" s="84"/>
      <c r="O49" s="82"/>
    </row>
    <row r="50" spans="2:15" x14ac:dyDescent="0.35">
      <c r="B50" s="58"/>
      <c r="C50" s="58"/>
      <c r="F50" s="58"/>
      <c r="G50" s="58"/>
      <c r="H50" s="56">
        <v>26</v>
      </c>
      <c r="I50" s="69">
        <v>5</v>
      </c>
      <c r="J50" s="58">
        <v>26</v>
      </c>
      <c r="K50" s="68">
        <v>5.2</v>
      </c>
      <c r="L50" s="83"/>
      <c r="M50" s="70"/>
      <c r="N50" s="84"/>
      <c r="O50" s="82"/>
    </row>
    <row r="51" spans="2:15" x14ac:dyDescent="0.35">
      <c r="B51" s="58"/>
      <c r="C51" s="58"/>
      <c r="F51" s="58"/>
      <c r="G51" s="58"/>
      <c r="H51" s="56">
        <v>26.5</v>
      </c>
      <c r="I51" s="70">
        <v>5.0999999999999996</v>
      </c>
      <c r="J51" s="58">
        <v>26.5</v>
      </c>
      <c r="K51" s="68">
        <v>5.2</v>
      </c>
      <c r="L51" s="83"/>
      <c r="M51" s="70"/>
      <c r="N51" s="84"/>
      <c r="O51" s="82"/>
    </row>
    <row r="52" spans="2:15" x14ac:dyDescent="0.35">
      <c r="B52" s="58"/>
      <c r="C52" s="58"/>
      <c r="F52" s="58"/>
      <c r="G52" s="58"/>
      <c r="H52" s="56">
        <v>27</v>
      </c>
      <c r="I52" s="70">
        <v>5.6</v>
      </c>
      <c r="J52" s="58">
        <v>27</v>
      </c>
      <c r="K52" s="68">
        <v>5.8</v>
      </c>
      <c r="L52" s="83"/>
      <c r="M52" s="70"/>
      <c r="N52" s="84"/>
      <c r="O52" s="82"/>
    </row>
    <row r="53" spans="2:15" x14ac:dyDescent="0.35">
      <c r="B53" s="58"/>
      <c r="C53" s="58"/>
      <c r="F53" s="58"/>
      <c r="G53" s="58"/>
      <c r="H53" s="56">
        <v>28</v>
      </c>
      <c r="I53" s="70">
        <v>5.0999999999999996</v>
      </c>
      <c r="J53" s="58">
        <v>28</v>
      </c>
      <c r="K53" s="68">
        <v>5.3</v>
      </c>
      <c r="L53" s="83"/>
      <c r="M53" s="70"/>
      <c r="N53" s="84"/>
      <c r="O53" s="82"/>
    </row>
    <row r="54" spans="2:15" x14ac:dyDescent="0.35">
      <c r="B54" s="58"/>
      <c r="C54" s="58"/>
      <c r="F54" s="58"/>
      <c r="G54" s="58"/>
      <c r="H54" s="56">
        <v>29</v>
      </c>
      <c r="I54" s="70">
        <v>4.8</v>
      </c>
      <c r="J54" s="58">
        <v>29</v>
      </c>
      <c r="K54" s="68">
        <v>5.0999999999999996</v>
      </c>
      <c r="L54" s="83"/>
      <c r="M54" s="70"/>
      <c r="N54" s="84"/>
      <c r="O54" s="82"/>
    </row>
    <row r="55" spans="2:15" x14ac:dyDescent="0.35">
      <c r="B55" s="58"/>
      <c r="C55" s="58"/>
      <c r="F55" s="58"/>
      <c r="G55" s="58"/>
      <c r="H55" s="56">
        <v>30</v>
      </c>
      <c r="I55" s="70">
        <v>4.7</v>
      </c>
      <c r="J55" s="58">
        <v>30</v>
      </c>
      <c r="K55" s="68">
        <v>5</v>
      </c>
      <c r="L55" s="83"/>
      <c r="M55" s="70"/>
      <c r="N55" s="84"/>
      <c r="O55" s="82"/>
    </row>
    <row r="56" spans="2:15" x14ac:dyDescent="0.35">
      <c r="B56" s="58"/>
      <c r="C56" s="58"/>
      <c r="F56" s="58"/>
      <c r="G56" s="58"/>
      <c r="H56" s="56">
        <v>31</v>
      </c>
      <c r="I56" s="70">
        <v>4.9000000000000004</v>
      </c>
      <c r="J56" s="58">
        <v>31</v>
      </c>
      <c r="K56" s="68">
        <v>5.0999999999999996</v>
      </c>
      <c r="L56" s="83"/>
      <c r="M56" s="70"/>
      <c r="N56" s="84"/>
      <c r="O56" s="82"/>
    </row>
    <row r="57" spans="2:15" x14ac:dyDescent="0.35">
      <c r="B57" s="58"/>
      <c r="C57" s="58"/>
      <c r="F57" s="58"/>
      <c r="G57" s="58"/>
      <c r="H57" s="56">
        <v>32</v>
      </c>
      <c r="I57" s="70">
        <v>5.3</v>
      </c>
      <c r="J57" s="58">
        <v>32</v>
      </c>
      <c r="K57" s="68">
        <v>5</v>
      </c>
      <c r="L57" s="83"/>
      <c r="M57" s="70"/>
      <c r="N57" s="84"/>
      <c r="O57" s="82"/>
    </row>
    <row r="58" spans="2:15" x14ac:dyDescent="0.35">
      <c r="B58" s="58"/>
      <c r="C58" s="58"/>
      <c r="F58" s="58"/>
      <c r="G58" s="58"/>
      <c r="H58" s="56">
        <v>33</v>
      </c>
      <c r="I58" s="70">
        <v>5.6</v>
      </c>
      <c r="J58" s="58">
        <v>33</v>
      </c>
      <c r="K58" s="68">
        <v>5</v>
      </c>
      <c r="L58" s="83"/>
      <c r="M58" s="70"/>
      <c r="N58" s="84"/>
      <c r="O58" s="82"/>
    </row>
    <row r="59" spans="2:15" x14ac:dyDescent="0.35">
      <c r="B59" s="58"/>
      <c r="C59" s="58"/>
      <c r="F59" s="58"/>
      <c r="G59" s="58"/>
      <c r="H59" s="56">
        <v>34</v>
      </c>
      <c r="I59" s="70">
        <v>5.0999999999999996</v>
      </c>
      <c r="J59" s="58">
        <v>34</v>
      </c>
      <c r="K59" s="68">
        <v>4.7</v>
      </c>
      <c r="L59" s="83"/>
      <c r="M59" s="70"/>
      <c r="N59" s="84"/>
      <c r="O59" s="82"/>
    </row>
    <row r="60" spans="2:15" x14ac:dyDescent="0.35">
      <c r="B60" s="58"/>
      <c r="C60" s="58"/>
      <c r="F60" s="58"/>
      <c r="G60" s="58"/>
      <c r="H60" s="56">
        <v>35</v>
      </c>
      <c r="I60" s="70">
        <v>5.3</v>
      </c>
      <c r="J60" s="58">
        <v>35</v>
      </c>
      <c r="K60" s="68">
        <v>4.5999999999999996</v>
      </c>
      <c r="L60" s="83"/>
      <c r="M60" s="70"/>
      <c r="N60" s="84"/>
      <c r="O60" s="82"/>
    </row>
    <row r="61" spans="2:15" x14ac:dyDescent="0.35">
      <c r="B61" s="58"/>
      <c r="C61" s="58"/>
      <c r="F61" s="58"/>
      <c r="G61" s="58"/>
      <c r="H61" s="56">
        <v>36</v>
      </c>
      <c r="I61" s="70">
        <v>4.7</v>
      </c>
      <c r="J61" s="58">
        <v>36</v>
      </c>
      <c r="K61" s="68">
        <v>4.5</v>
      </c>
      <c r="L61" s="83"/>
      <c r="M61" s="70"/>
      <c r="N61" s="84"/>
      <c r="O61" s="82"/>
    </row>
    <row r="62" spans="2:15" x14ac:dyDescent="0.35">
      <c r="B62" s="58"/>
      <c r="C62" s="58"/>
      <c r="F62" s="58"/>
      <c r="G62" s="58"/>
      <c r="H62" s="56">
        <v>37</v>
      </c>
      <c r="I62" s="70">
        <v>4.3</v>
      </c>
      <c r="J62" s="58">
        <v>37</v>
      </c>
      <c r="K62" s="68">
        <v>4.5999999999999996</v>
      </c>
      <c r="L62" s="83"/>
      <c r="M62" s="70"/>
      <c r="N62" s="84"/>
      <c r="O62" s="82"/>
    </row>
    <row r="63" spans="2:15" x14ac:dyDescent="0.35">
      <c r="B63" s="58"/>
      <c r="C63" s="58"/>
      <c r="F63" s="58"/>
      <c r="G63" s="58"/>
      <c r="H63" s="56">
        <v>38</v>
      </c>
      <c r="I63" s="70">
        <v>4.7</v>
      </c>
      <c r="J63" s="58">
        <v>38</v>
      </c>
      <c r="K63" s="68">
        <v>5.7</v>
      </c>
      <c r="L63" s="83"/>
      <c r="M63" s="70"/>
      <c r="N63" s="84"/>
      <c r="O63" s="82"/>
    </row>
    <row r="64" spans="2:15" x14ac:dyDescent="0.35">
      <c r="B64" s="58"/>
      <c r="C64" s="58"/>
      <c r="F64" s="58"/>
      <c r="G64" s="58"/>
      <c r="H64" s="56">
        <v>39</v>
      </c>
      <c r="I64" s="70">
        <v>5.4</v>
      </c>
      <c r="J64" s="58">
        <v>39</v>
      </c>
      <c r="K64" s="68">
        <v>7.5</v>
      </c>
      <c r="L64" s="83"/>
      <c r="M64" s="70"/>
      <c r="N64" s="84"/>
      <c r="O64" s="82"/>
    </row>
    <row r="65" spans="1:15" x14ac:dyDescent="0.35">
      <c r="B65" s="58"/>
      <c r="C65" s="58"/>
      <c r="F65" s="58"/>
      <c r="G65" s="58"/>
      <c r="H65" s="56">
        <v>40</v>
      </c>
      <c r="I65" s="70">
        <v>5.6</v>
      </c>
      <c r="J65" s="58">
        <v>40</v>
      </c>
      <c r="K65" s="68">
        <v>7.9</v>
      </c>
      <c r="L65" s="83"/>
      <c r="M65" s="70"/>
      <c r="N65" s="84"/>
      <c r="O65" s="82"/>
    </row>
    <row r="66" spans="1:15" x14ac:dyDescent="0.35">
      <c r="B66" s="58"/>
      <c r="C66" s="58"/>
      <c r="D66" s="1"/>
      <c r="E66" s="1"/>
      <c r="F66" s="58"/>
      <c r="G66" s="58"/>
      <c r="H66" s="56"/>
      <c r="J66" s="58"/>
      <c r="K66" s="58"/>
      <c r="N66" s="75"/>
      <c r="O66" s="75"/>
    </row>
    <row r="67" spans="1:15" x14ac:dyDescent="0.35">
      <c r="A67" s="56" t="s">
        <v>60</v>
      </c>
      <c r="B67" s="58"/>
      <c r="C67" s="58">
        <v>1</v>
      </c>
      <c r="E67" s="1">
        <v>1</v>
      </c>
      <c r="F67" s="58"/>
      <c r="G67" s="58">
        <v>1</v>
      </c>
      <c r="I67" s="1">
        <v>1</v>
      </c>
      <c r="J67" s="58"/>
      <c r="K67" s="58">
        <v>1</v>
      </c>
      <c r="M67" s="1">
        <v>1</v>
      </c>
      <c r="N67" s="75"/>
      <c r="O67" s="75">
        <v>1</v>
      </c>
    </row>
    <row r="68" spans="1:15" x14ac:dyDescent="0.35">
      <c r="A68" s="56" t="s">
        <v>38</v>
      </c>
      <c r="B68" s="58"/>
      <c r="C68" s="58">
        <v>0.9</v>
      </c>
      <c r="E68" s="1">
        <v>0.9</v>
      </c>
      <c r="F68" s="58"/>
      <c r="G68" s="58">
        <v>0.9</v>
      </c>
      <c r="I68" s="1">
        <v>0.9</v>
      </c>
      <c r="J68" s="58"/>
      <c r="K68" s="58">
        <v>0.9</v>
      </c>
      <c r="M68" s="1">
        <v>0.9</v>
      </c>
      <c r="N68" s="58"/>
      <c r="O68" s="58">
        <v>0.9</v>
      </c>
    </row>
    <row r="69" spans="1:15" x14ac:dyDescent="0.35">
      <c r="A69" s="56" t="s">
        <v>40</v>
      </c>
      <c r="B69" s="58"/>
      <c r="C69" s="58">
        <v>1.05</v>
      </c>
      <c r="E69" s="1">
        <v>1.05</v>
      </c>
      <c r="F69" s="58"/>
      <c r="G69" s="58">
        <v>1.05</v>
      </c>
      <c r="I69" s="1">
        <v>1.05</v>
      </c>
      <c r="J69" s="58"/>
      <c r="K69" s="58">
        <v>1.05</v>
      </c>
      <c r="M69" s="1">
        <v>1.05</v>
      </c>
      <c r="N69" s="58"/>
      <c r="O69" s="58">
        <v>1.05</v>
      </c>
    </row>
    <row r="70" spans="1:15" x14ac:dyDescent="0.35">
      <c r="B70" s="1" t="s">
        <v>41</v>
      </c>
    </row>
    <row r="71" spans="1:15" x14ac:dyDescent="0.35">
      <c r="B71" s="1" t="s">
        <v>42</v>
      </c>
    </row>
    <row r="72" spans="1:15" x14ac:dyDescent="0.35">
      <c r="B72" s="1" t="s">
        <v>43</v>
      </c>
    </row>
    <row r="73" spans="1:15" x14ac:dyDescent="0.35">
      <c r="G73" s="57" t="s">
        <v>62</v>
      </c>
    </row>
  </sheetData>
  <mergeCells count="7">
    <mergeCell ref="L1:M1"/>
    <mergeCell ref="N1:O1"/>
    <mergeCell ref="B1:C1"/>
    <mergeCell ref="D1:E1"/>
    <mergeCell ref="F1:G1"/>
    <mergeCell ref="H1:I1"/>
    <mergeCell ref="J1:K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E9E9-90A5-4BBD-9181-A0EAD03CE9BF}">
  <sheetPr codeName="Sheet3">
    <pageSetUpPr fitToPage="1"/>
  </sheetPr>
  <dimension ref="A1:B134"/>
  <sheetViews>
    <sheetView zoomScale="110" zoomScaleNormal="110" workbookViewId="0">
      <selection activeCell="C8" sqref="C8"/>
    </sheetView>
  </sheetViews>
  <sheetFormatPr defaultColWidth="9.1796875" defaultRowHeight="14.5" x14ac:dyDescent="0.35"/>
  <cols>
    <col min="1" max="1" width="16.26953125" style="56" customWidth="1"/>
    <col min="2" max="2" width="39.7265625" style="89" customWidth="1"/>
    <col min="3" max="3" width="19.54296875" style="1" customWidth="1"/>
    <col min="4" max="16384" width="9.1796875" style="1"/>
  </cols>
  <sheetData>
    <row r="1" spans="1:2" x14ac:dyDescent="0.35">
      <c r="A1" s="56" t="s">
        <v>65</v>
      </c>
    </row>
    <row r="2" spans="1:2" x14ac:dyDescent="0.35">
      <c r="A2" s="56" t="s">
        <v>55</v>
      </c>
      <c r="B2" s="89">
        <f>IF(Uncertainty!B9&lt;='Sensor Data'!B13, 'Sensor Data'!C13, IF(Uncertainty!B9&lt;='Sensor Data'!B14, 'Sensor Data'!C14, IF(Uncertainty!B9&lt;='Sensor Data'!B15,'Sensor Data'!C15,10)))</f>
        <v>1.25</v>
      </c>
    </row>
    <row r="3" spans="1:2" x14ac:dyDescent="0.35">
      <c r="A3" s="56" t="s">
        <v>56</v>
      </c>
      <c r="B3" s="89">
        <f>IF(Uncertainty!B9&lt;='Sensor Data'!D13, 'Sensor Data'!E13, IF(Uncertainty!B9&lt;='Sensor Data'!D14, 'Sensor Data'!E14, IF(Uncertainty!B9&lt;='Sensor Data'!D15,'Sensor Data'!E15,IF(Uncertainty!B9&lt;='Sensor Data'!D16,'Sensor Data'!E16,10))))</f>
        <v>1.1499999999999999</v>
      </c>
    </row>
    <row r="4" spans="1:2" x14ac:dyDescent="0.35">
      <c r="A4" s="56" t="s">
        <v>57</v>
      </c>
      <c r="B4" s="89">
        <f>IF(Uncertainty!B9&lt;='Sensor Data'!F13, 'Sensor Data'!G13, IF(Uncertainty!B9&lt;='Sensor Data'!F14, 'Sensor Data'!G14, IF(Uncertainty!B9&lt;='Sensor Data'!F15,'Sensor Data'!G15,IF(Uncertainty!B9&lt;='Sensor Data'!F16,'Sensor Data'!G16,IF(Uncertainty!B9&lt;='Sensor Data'!F17,'Sensor Data'!G17,10)))))</f>
        <v>1.1499999999999999</v>
      </c>
    </row>
    <row r="5" spans="1:2" x14ac:dyDescent="0.35">
      <c r="A5" s="56" t="s">
        <v>58</v>
      </c>
      <c r="B5" s="89">
        <f>IF(Uncertainty!B9&lt;='Sensor Data'!H13, 'Sensor Data'!I13, IF(Uncertainty!B9&lt;='Sensor Data'!H14, 'Sensor Data'!I14, IF(Uncertainty!B9&lt;='Sensor Data'!H15,'Sensor Data'!I15,IF(Uncertainty!B9&lt;='Sensor Data'!H16,'Sensor Data'!I16,10))))</f>
        <v>1.25</v>
      </c>
    </row>
    <row r="6" spans="1:2" x14ac:dyDescent="0.35">
      <c r="A6" s="56" t="s">
        <v>59</v>
      </c>
      <c r="B6" s="89">
        <f>IF(Uncertainty!B9&lt;='Sensor Data'!J13, 'Sensor Data'!K13, IF(Uncertainty!B9&lt;='Sensor Data'!J14, 'Sensor Data'!K14, IF(Uncertainty!B9&lt;='Sensor Data'!J15,'Sensor Data'!K15,IF(Uncertainty!B9&lt;='Sensor Data'!J16,'Sensor Data'!K16,10))))</f>
        <v>1.25</v>
      </c>
    </row>
    <row r="7" spans="1:2" x14ac:dyDescent="0.35">
      <c r="A7" s="56" t="s">
        <v>86</v>
      </c>
      <c r="B7" s="89">
        <f>IF(Uncertainty!B9&lt;='Sensor Data'!L13, 'Sensor Data'!M13, IF(Uncertainty!B9&lt;='Sensor Data'!L14, 'Sensor Data'!M14, IF(Uncertainty!B9&lt;='Sensor Data'!L15,'Sensor Data'!M15,10)))</f>
        <v>1.2</v>
      </c>
    </row>
    <row r="8" spans="1:2" x14ac:dyDescent="0.35">
      <c r="A8" s="56" t="s">
        <v>85</v>
      </c>
      <c r="B8" s="89">
        <f>IF(Uncertainty!B9&lt;='Sensor Data'!N13, 'Sensor Data'!O13, IF(Uncertainty!B9&lt;='Sensor Data'!N14, 'Sensor Data'!O14, IF(Uncertainty!B9&lt;='Sensor Data'!N15,'Sensor Data'!O15,10)))</f>
        <v>1.2</v>
      </c>
    </row>
    <row r="10" spans="1:2" x14ac:dyDescent="0.35">
      <c r="A10" s="56" t="s">
        <v>66</v>
      </c>
    </row>
    <row r="11" spans="1:2" x14ac:dyDescent="0.35">
      <c r="A11" s="56" t="s">
        <v>55</v>
      </c>
      <c r="B11" s="89">
        <f>IF('Sensor Data'!C67&lt;='Sensor Data'!B13, 'Sensor Data'!C13, IF('Sensor Data'!C67&lt;='Sensor Data'!B14, 'Sensor Data'!C14, IF('Sensor Data'!C67&lt;='Sensor Data'!B15,'Sensor Data'!C15,10)))</f>
        <v>1.25</v>
      </c>
    </row>
    <row r="12" spans="1:2" x14ac:dyDescent="0.35">
      <c r="A12" s="56" t="s">
        <v>56</v>
      </c>
      <c r="B12" s="89">
        <f>IF('Sensor Data'!E67&lt;='Sensor Data'!D13, 'Sensor Data'!E13, IF('Sensor Data'!E67&lt;='Sensor Data'!D14, 'Sensor Data'!E14, IF('Sensor Data'!E67&lt;='Sensor Data'!D15,'Sensor Data'!E15,IF('Sensor Data'!E67&lt;='Sensor Data'!D16,'Sensor Data'!E16,10))))</f>
        <v>1.1499999999999999</v>
      </c>
    </row>
    <row r="13" spans="1:2" x14ac:dyDescent="0.35">
      <c r="A13" s="56" t="s">
        <v>57</v>
      </c>
      <c r="B13" s="89">
        <f>IF('Sensor Data'!G67&lt;='Sensor Data'!F13, 'Sensor Data'!G13, IF('Sensor Data'!G67&lt;='Sensor Data'!F14, 'Sensor Data'!G14, IF('Sensor Data'!G67&lt;='Sensor Data'!F15,'Sensor Data'!G15,IF('Sensor Data'!G67&lt;='Sensor Data'!F16,'Sensor Data'!G16,IF('Sensor Data'!G67&lt;='Sensor Data'!F17,'Sensor Data'!G17,10)))))</f>
        <v>1.1499999999999999</v>
      </c>
    </row>
    <row r="14" spans="1:2" x14ac:dyDescent="0.35">
      <c r="A14" s="56" t="s">
        <v>58</v>
      </c>
      <c r="B14" s="89">
        <f>IF('Sensor Data'!I67&lt;='Sensor Data'!H13, 'Sensor Data'!I13, IF('Sensor Data'!I67&lt;='Sensor Data'!H14, 'Sensor Data'!I14, IF('Sensor Data'!I67&lt;='Sensor Data'!H15,'Sensor Data'!I15,IF('Sensor Data'!I67&lt;='Sensor Data'!H16,'Sensor Data'!I16,10))))</f>
        <v>1.25</v>
      </c>
    </row>
    <row r="15" spans="1:2" x14ac:dyDescent="0.35">
      <c r="A15" s="56" t="s">
        <v>59</v>
      </c>
      <c r="B15" s="89">
        <f>IF('Sensor Data'!K67&lt;='Sensor Data'!J13, 'Sensor Data'!K13, IF('Sensor Data'!K67&lt;='Sensor Data'!J14, 'Sensor Data'!K14, IF('Sensor Data'!K67&lt;='Sensor Data'!J15,'Sensor Data'!K15,IF('Sensor Data'!K67&lt;='Sensor Data'!J16,'Sensor Data'!K16,10))))</f>
        <v>1.25</v>
      </c>
    </row>
    <row r="16" spans="1:2" x14ac:dyDescent="0.35">
      <c r="A16" s="56" t="s">
        <v>86</v>
      </c>
      <c r="B16" s="89">
        <f>IF('Sensor Data'!M67&lt;='Sensor Data'!L13, 'Sensor Data'!M13, IF('Sensor Data'!M67&lt;='Sensor Data'!L14, 'Sensor Data'!M14, IF('Sensor Data'!M67&lt;='Sensor Data'!L15,'Sensor Data'!M15,10)))</f>
        <v>1.2</v>
      </c>
    </row>
    <row r="17" spans="1:2" x14ac:dyDescent="0.35">
      <c r="A17" s="56" t="s">
        <v>85</v>
      </c>
      <c r="B17" s="89">
        <f>IF('Sensor Data'!O67&lt;='Sensor Data'!N13, 'Sensor Data'!O13, IF('Sensor Data'!O67&lt;='Sensor Data'!N14, 'Sensor Data'!O14, IF('Sensor Data'!O67&lt;='Sensor Data'!N15,'Sensor Data'!O15,10)))</f>
        <v>1.2</v>
      </c>
    </row>
    <row r="19" spans="1:2" x14ac:dyDescent="0.35">
      <c r="A19" s="56" t="s">
        <v>67</v>
      </c>
    </row>
    <row r="20" spans="1:2" x14ac:dyDescent="0.35">
      <c r="A20" s="56" t="s">
        <v>55</v>
      </c>
      <c r="B20" s="89">
        <f>IF(Uncertainty!B8=0, 'Sensor Data'!C68, 0.9+(ROUNDUP((ABS(0-Uncertainty!B8)/5),0)*0.46))</f>
        <v>0.9</v>
      </c>
    </row>
    <row r="21" spans="1:2" x14ac:dyDescent="0.35">
      <c r="A21" s="56" t="s">
        <v>56</v>
      </c>
      <c r="B21" s="89">
        <f>IF(Uncertainty!B8=0, 'Sensor Data'!E68, 0.9+(ROUNDUP((ABS(0-Uncertainty!B8)/5),0)*0.46))</f>
        <v>0.9</v>
      </c>
    </row>
    <row r="22" spans="1:2" x14ac:dyDescent="0.35">
      <c r="A22" s="56" t="s">
        <v>57</v>
      </c>
      <c r="B22" s="89">
        <f>IF(Uncertainty!B8=0, 'Sensor Data'!G68, 0.9+(ROUNDUP((ABS(0-Uncertainty!B8)/5),0)*0.46))</f>
        <v>0.9</v>
      </c>
    </row>
    <row r="23" spans="1:2" x14ac:dyDescent="0.35">
      <c r="A23" s="56" t="s">
        <v>58</v>
      </c>
      <c r="B23" s="89">
        <f>IF(Uncertainty!B8=0, 'Sensor Data'!I68, 0.9+(ROUNDUP((ABS(0-Uncertainty!B8)/5),0)*0.46))</f>
        <v>0.9</v>
      </c>
    </row>
    <row r="24" spans="1:2" x14ac:dyDescent="0.35">
      <c r="A24" s="56" t="s">
        <v>59</v>
      </c>
      <c r="B24" s="89">
        <f>IF(Uncertainty!B8=0, 'Sensor Data'!K68, 0.9+(ROUNDUP((ABS(0-Uncertainty!B8)/5),0)*0.46))</f>
        <v>0.9</v>
      </c>
    </row>
    <row r="25" spans="1:2" x14ac:dyDescent="0.35">
      <c r="A25" s="56" t="s">
        <v>86</v>
      </c>
      <c r="B25" s="89">
        <f>IF(Uncertainty!B8=0, 'Sensor Data'!M68, 0.9+(ROUNDUP((ABS(0-Uncertainty!B8)/5),0)*0.46))</f>
        <v>0.9</v>
      </c>
    </row>
    <row r="26" spans="1:2" x14ac:dyDescent="0.35">
      <c r="A26" s="56" t="s">
        <v>85</v>
      </c>
      <c r="B26" s="89">
        <f>IF(Uncertainty!B8=0, 'Sensor Data'!O68, 0.9+(ROUNDUP((ABS(0-Uncertainty!B8)/5),0)*0.46))</f>
        <v>0.9</v>
      </c>
    </row>
    <row r="28" spans="1:2" x14ac:dyDescent="0.35">
      <c r="A28" s="56" t="s">
        <v>68</v>
      </c>
    </row>
    <row r="29" spans="1:2" x14ac:dyDescent="0.35">
      <c r="A29" s="56" t="s">
        <v>55</v>
      </c>
      <c r="B29" s="89">
        <f>2*(('Sensor Data'!C69-1)/('Sensor Data'!C69+1))*((Uncertainty!B6-1)/(Uncertainty!B6+1))*100</f>
        <v>0.54200542005420105</v>
      </c>
    </row>
    <row r="30" spans="1:2" x14ac:dyDescent="0.35">
      <c r="A30" s="56" t="s">
        <v>56</v>
      </c>
      <c r="B30" s="89">
        <f>2*(('Sensor Data'!E69-1)/('Sensor Data'!E69+1))*((Uncertainty!B6-1)/(Uncertainty!B6+1))*100</f>
        <v>0.54200542005420105</v>
      </c>
    </row>
    <row r="31" spans="1:2" x14ac:dyDescent="0.35">
      <c r="A31" s="56" t="s">
        <v>57</v>
      </c>
      <c r="B31" s="89">
        <f>2*(('Sensor Data'!G69-1)/('Sensor Data'!G69+1))*((Uncertainty!B6-1)/(Uncertainty!B6+1))*100</f>
        <v>0.54200542005420105</v>
      </c>
    </row>
    <row r="32" spans="1:2" x14ac:dyDescent="0.35">
      <c r="A32" s="56" t="s">
        <v>58</v>
      </c>
      <c r="B32" s="89">
        <f>2*(('Sensor Data'!I69-1)/('Sensor Data'!I69+1))*((Uncertainty!B6-1)/(Uncertainty!B6+1))*100</f>
        <v>0.54200542005420105</v>
      </c>
    </row>
    <row r="33" spans="1:2" x14ac:dyDescent="0.35">
      <c r="A33" s="56" t="s">
        <v>59</v>
      </c>
      <c r="B33" s="89">
        <f>2*(('Sensor Data'!K69-1)/('Sensor Data'!K69+1))*((Uncertainty!B6-1)/(Uncertainty!B6+1))*100</f>
        <v>0.54200542005420105</v>
      </c>
    </row>
    <row r="34" spans="1:2" x14ac:dyDescent="0.35">
      <c r="A34" s="56" t="s">
        <v>86</v>
      </c>
      <c r="B34" s="89">
        <f>2*(('Sensor Data'!M69-1)/('Sensor Data'!M69+1))*((Uncertainty!B6-1)/(Uncertainty!B6+1))*100</f>
        <v>0.54200542005420105</v>
      </c>
    </row>
    <row r="35" spans="1:2" x14ac:dyDescent="0.35">
      <c r="A35" s="56" t="s">
        <v>85</v>
      </c>
      <c r="B35" s="89">
        <f>2*(('Sensor Data'!O69-1)/('Sensor Data'!O69+1))*((Uncertainty!B6-1)/(Uncertainty!B6+1))*100</f>
        <v>0.54200542005420105</v>
      </c>
    </row>
    <row r="37" spans="1:2" x14ac:dyDescent="0.35">
      <c r="A37" s="56" t="s">
        <v>69</v>
      </c>
    </row>
    <row r="38" spans="1:2" x14ac:dyDescent="0.35">
      <c r="A38" s="56" t="s">
        <v>55</v>
      </c>
      <c r="B38" s="89">
        <f>IF(Uncertainty!B8=0,'Sensor Data'!B21,'Sensor Data'!C21)</f>
        <v>0.5</v>
      </c>
    </row>
    <row r="39" spans="1:2" x14ac:dyDescent="0.35">
      <c r="A39" s="56" t="s">
        <v>56</v>
      </c>
      <c r="B39" s="89">
        <f>IF(Uncertainty!B8=0,'Sensor Data'!D21,'Sensor Data'!E21)</f>
        <v>0.5</v>
      </c>
    </row>
    <row r="40" spans="1:2" x14ac:dyDescent="0.35">
      <c r="A40" s="56" t="s">
        <v>57</v>
      </c>
      <c r="B40" s="89">
        <f>IF(Uncertainty!B8=0,'Sensor Data'!F21,'Sensor Data'!G21)</f>
        <v>0.5</v>
      </c>
    </row>
    <row r="41" spans="1:2" x14ac:dyDescent="0.35">
      <c r="A41" s="56" t="s">
        <v>58</v>
      </c>
      <c r="B41" s="89">
        <f>IF(Uncertainty!B8=0,'Sensor Data'!H21,'Sensor Data'!I21)</f>
        <v>0.5</v>
      </c>
    </row>
    <row r="42" spans="1:2" x14ac:dyDescent="0.35">
      <c r="A42" s="56" t="s">
        <v>59</v>
      </c>
      <c r="B42" s="89">
        <f>IF(Uncertainty!B8=0,'Sensor Data'!J21,'Sensor Data'!K21)</f>
        <v>0.5</v>
      </c>
    </row>
    <row r="43" spans="1:2" x14ac:dyDescent="0.35">
      <c r="A43" s="56" t="s">
        <v>86</v>
      </c>
      <c r="B43" s="89">
        <f>IF(Uncertainty!B8=0,'Sensor Data'!L21,'Sensor Data'!M21)</f>
        <v>0.5</v>
      </c>
    </row>
    <row r="44" spans="1:2" x14ac:dyDescent="0.35">
      <c r="A44" s="56" t="s">
        <v>85</v>
      </c>
      <c r="B44" s="89">
        <f>IF(Uncertainty!B8=0,'Sensor Data'!N21,'Sensor Data'!O21)</f>
        <v>0.5</v>
      </c>
    </row>
    <row r="46" spans="1:2" x14ac:dyDescent="0.35">
      <c r="A46" s="56" t="s">
        <v>70</v>
      </c>
    </row>
    <row r="47" spans="1:2" x14ac:dyDescent="0.35">
      <c r="A47" s="56" t="s">
        <v>55</v>
      </c>
      <c r="B47" s="89">
        <f>IF(Uncertainty!B13="PULSE",(('Sensor Data'!C19*(1*10^-9)/(10^(Uncertainty!B8/10)/1000))*100),(('Sensor Data'!C20*(1*10^-9)/(10^(Uncertainty!B8/10)/1000))*100))</f>
        <v>9.9999999999999991E-5</v>
      </c>
    </row>
    <row r="48" spans="1:2" x14ac:dyDescent="0.35">
      <c r="A48" s="56" t="s">
        <v>56</v>
      </c>
      <c r="B48" s="89">
        <f>IF(Uncertainty!B13="PULSE",(('Sensor Data'!E19*(1*10^-9)/(10^(Uncertainty!B8/10)/1000))*100),(('Sensor Data'!E20*(1*10^-9)/(10^(Uncertainty!B8/10)/1000))*100))</f>
        <v>0.04</v>
      </c>
    </row>
    <row r="49" spans="1:2" x14ac:dyDescent="0.35">
      <c r="A49" s="56" t="s">
        <v>57</v>
      </c>
      <c r="B49" s="89">
        <f>IF(Uncertainty!B13="PULSE",(('Sensor Data'!G19*(1*10^-9)/(10^(Uncertainty!B8/10)/1000))*100),(('Sensor Data'!G20*(1*10^-9)/(10^(Uncertainty!B8/10)/1000))*100))</f>
        <v>5.0000000000000001E-4</v>
      </c>
    </row>
    <row r="50" spans="1:2" x14ac:dyDescent="0.35">
      <c r="A50" s="56" t="s">
        <v>58</v>
      </c>
      <c r="B50" s="89">
        <f>IF(Uncertainty!B13="PULSE",(('Sensor Data'!I19*(1*10^-9)/(10^(Uncertainty!B8/10)/1000))*100),(('Sensor Data'!I20*(1*10^-9)/(10^(Uncertainty!B8/10)/1000))*100))</f>
        <v>0.04</v>
      </c>
    </row>
    <row r="51" spans="1:2" x14ac:dyDescent="0.35">
      <c r="A51" s="56" t="s">
        <v>59</v>
      </c>
      <c r="B51" s="89">
        <f>IF(Uncertainty!B13="PULSE",(('Sensor Data'!K19*(1*10^-9)/(10^(Uncertainty!B8/10)/1000))*100),(('Sensor Data'!K20*(1*10^-9)/(10^(Uncertainty!B8/10)/1000))*100))</f>
        <v>5.0000000000000001E-4</v>
      </c>
    </row>
    <row r="52" spans="1:2" x14ac:dyDescent="0.35">
      <c r="A52" s="56" t="s">
        <v>86</v>
      </c>
      <c r="B52" s="89">
        <f>IF(Uncertainty!B13="PULSE",(('Sensor Data'!M19*(1*10^-9)/(10^(Uncertainty!B8/10)/1000))*100),(('Sensor Data'!M20*(1*10^-9)/(10^(Uncertainty!B8/10)/1000))*100))</f>
        <v>9.9999999999999991E-5</v>
      </c>
    </row>
    <row r="53" spans="1:2" x14ac:dyDescent="0.35">
      <c r="A53" s="56" t="s">
        <v>85</v>
      </c>
      <c r="B53" s="89">
        <f>IF(Uncertainty!B13="PULSE",(('Sensor Data'!O19*(1*10^-9)/(10^(Uncertainty!B8/10)/1000))*100),(('Sensor Data'!O20*(1*10^-9)/(10^(Uncertainty!B8/10)/1000))*100))</f>
        <v>3.9999999999999996E-4</v>
      </c>
    </row>
    <row r="55" spans="1:2" x14ac:dyDescent="0.35">
      <c r="A55" s="56" t="s">
        <v>71</v>
      </c>
    </row>
    <row r="56" spans="1:2" x14ac:dyDescent="0.35">
      <c r="A56" s="56" t="s">
        <v>55</v>
      </c>
      <c r="B56" s="89">
        <f>IFERROR(VLOOKUP(Uncertainty!B9,'Sensor Data'!B24:C30,2,FALSE),IF(Uncertainty!B9&lt;'Sensor Data'!B24,'Sensor Data'!C24,(Uncertainty!E12-Uncertainty!E11)*(Uncertainty!B9-Uncertainty!D8)/(Uncertainty!D9-Uncertainty!D8)+Uncertainty!E11))</f>
        <v>1.4</v>
      </c>
    </row>
    <row r="57" spans="1:2" x14ac:dyDescent="0.35">
      <c r="A57" s="56" t="s">
        <v>56</v>
      </c>
      <c r="B57" s="89">
        <f>IFERROR(VLOOKUP(Uncertainty!B9,'Sensor Data'!D24:E42,2,FALSE),IF(Uncertainty!B9&lt;'Sensor Data'!D24,'Sensor Data'!E24,(Uncertainty!E12-Uncertainty!E11)*(Uncertainty!B9-Uncertainty!D8)/(Uncertainty!D9-Uncertainty!D8)+Uncertainty!E11))</f>
        <v>1.4</v>
      </c>
    </row>
    <row r="58" spans="1:2" x14ac:dyDescent="0.35">
      <c r="A58" s="56" t="s">
        <v>57</v>
      </c>
      <c r="B58" s="89">
        <f>IFERROR(VLOOKUP(Uncertainty!B9,'Sensor Data'!F24:G42,2,FALSE),IF(Uncertainty!B9&lt;'Sensor Data'!F24,'Sensor Data'!G24,(Uncertainty!E12-Uncertainty!E11)*(Uncertainty!B9-Uncertainty!D8)/(Uncertainty!D9-Uncertainty!D8)+Uncertainty!E11))</f>
        <v>1.1000000000000001</v>
      </c>
    </row>
    <row r="59" spans="1:2" x14ac:dyDescent="0.35">
      <c r="A59" s="56" t="s">
        <v>58</v>
      </c>
      <c r="B59" s="89">
        <f>IFERROR(VLOOKUP(Uncertainty!B9,'Sensor Data'!H24:I65,2,FALSE),IF(Uncertainty!B9&lt;'Sensor Data'!H24,'Sensor Data'!I24,(Uncertainty!E12-Uncertainty!E11)*(Uncertainty!B9-Uncertainty!D8)/(Uncertainty!D9-Uncertainty!D8)+Uncertainty!E11))</f>
        <v>1.3</v>
      </c>
    </row>
    <row r="60" spans="1:2" x14ac:dyDescent="0.35">
      <c r="A60" s="56" t="s">
        <v>59</v>
      </c>
      <c r="B60" s="89">
        <f>IFERROR(VLOOKUP(Uncertainty!B9,'Sensor Data'!J24:K65,2,FALSE),IF(Uncertainty!B9&lt;'Sensor Data'!J24,'Sensor Data'!K24,(Uncertainty!E12-Uncertainty!E11)*(Uncertainty!B9-Uncertainty!D8)/(Uncertainty!D9-Uncertainty!D8)+Uncertainty!E11))</f>
        <v>1.1000000000000001</v>
      </c>
    </row>
    <row r="61" spans="1:2" x14ac:dyDescent="0.35">
      <c r="A61" s="56" t="s">
        <v>86</v>
      </c>
      <c r="B61" s="89">
        <f>IFERROR(VLOOKUP(Uncertainty!B9,'Sensor Data'!L24:M65,2,FALSE),IF(Uncertainty!B9&lt;'Sensor Data'!L24,'Sensor Data'!M24,(Uncertainty!E12-Uncertainty!E11)*(Uncertainty!B9-Uncertainty!D8)/(Uncertainty!D9-Uncertainty!D8)+Uncertainty!E11))</f>
        <v>1.4</v>
      </c>
    </row>
    <row r="62" spans="1:2" x14ac:dyDescent="0.35">
      <c r="A62" s="56" t="s">
        <v>85</v>
      </c>
      <c r="B62" s="89">
        <f>IFERROR(VLOOKUP(Uncertainty!B9,'Sensor Data'!N24:O65,2,FALSE),IF(Uncertainty!B9&lt;'Sensor Data'!N24,'Sensor Data'!O24,(Uncertainty!E12-Uncertainty!E11)*(Uncertainty!B9-Uncertainty!D8)/(Uncertainty!D9-Uncertainty!D8)+Uncertainty!E11))</f>
        <v>1.4</v>
      </c>
    </row>
    <row r="64" spans="1:2" x14ac:dyDescent="0.35">
      <c r="A64" s="56" t="s">
        <v>80</v>
      </c>
    </row>
    <row r="65" spans="1:2" x14ac:dyDescent="0.35">
      <c r="A65" s="56" t="s">
        <v>55</v>
      </c>
      <c r="B65" s="89">
        <f>IF(Uncertainty!B13="CW",'Sensor Data'!C10,'Sensor Data'!C7)</f>
        <v>-60</v>
      </c>
    </row>
    <row r="66" spans="1:2" x14ac:dyDescent="0.35">
      <c r="A66" s="56" t="s">
        <v>56</v>
      </c>
      <c r="B66" s="89">
        <f>IF(Uncertainty!B13="CW",'Sensor Data'!E10,'Sensor Data'!E7)</f>
        <v>-34</v>
      </c>
    </row>
    <row r="67" spans="1:2" x14ac:dyDescent="0.35">
      <c r="A67" s="56" t="s">
        <v>57</v>
      </c>
      <c r="B67" s="89">
        <f>IF(Uncertainty!B13="CW",'Sensor Data'!G10,'Sensor Data'!G7)</f>
        <v>-50</v>
      </c>
    </row>
    <row r="68" spans="1:2" x14ac:dyDescent="0.35">
      <c r="A68" s="56" t="s">
        <v>58</v>
      </c>
      <c r="B68" s="89">
        <f>IF(Uncertainty!B13="CW",'Sensor Data'!I10,'Sensor Data'!I7)</f>
        <v>-34</v>
      </c>
    </row>
    <row r="69" spans="1:2" x14ac:dyDescent="0.35">
      <c r="A69" s="56" t="s">
        <v>59</v>
      </c>
      <c r="B69" s="89">
        <f>IF(Uncertainty!B13="CW",'Sensor Data'!K10,'Sensor Data'!K7)</f>
        <v>-50</v>
      </c>
    </row>
    <row r="70" spans="1:2" x14ac:dyDescent="0.35">
      <c r="A70" s="56" t="s">
        <v>86</v>
      </c>
      <c r="B70" s="89">
        <f>IF(Uncertainty!B13="CW",'Sensor Data'!M10,'Sensor Data'!M7)</f>
        <v>-60</v>
      </c>
    </row>
    <row r="71" spans="1:2" x14ac:dyDescent="0.35">
      <c r="A71" s="56" t="s">
        <v>85</v>
      </c>
      <c r="B71" s="89">
        <f>IF(Uncertainty!B13="CW",'Sensor Data'!O10,'Sensor Data'!O7)</f>
        <v>-53</v>
      </c>
    </row>
    <row r="73" spans="1:2" x14ac:dyDescent="0.35">
      <c r="A73" s="56" t="s">
        <v>72</v>
      </c>
    </row>
    <row r="74" spans="1:2" x14ac:dyDescent="0.35">
      <c r="A74" s="56" t="s">
        <v>55</v>
      </c>
      <c r="B74" s="89">
        <f>VLOOKUP(Uncertainty!B9,'Sensor Data'!B24:C30,1,TRUE)</f>
        <v>1</v>
      </c>
    </row>
    <row r="75" spans="1:2" x14ac:dyDescent="0.35">
      <c r="A75" s="56" t="s">
        <v>56</v>
      </c>
      <c r="B75" s="89">
        <f>VLOOKUP(Uncertainty!B9,'Sensor Data'!D24:E42,1,TRUE)</f>
        <v>1</v>
      </c>
    </row>
    <row r="76" spans="1:2" x14ac:dyDescent="0.35">
      <c r="A76" s="56" t="s">
        <v>57</v>
      </c>
      <c r="B76" s="89">
        <f>VLOOKUP(Uncertainty!B9,'Sensor Data'!F24:G42,1,TRUE)</f>
        <v>1</v>
      </c>
    </row>
    <row r="77" spans="1:2" x14ac:dyDescent="0.35">
      <c r="A77" s="56" t="s">
        <v>58</v>
      </c>
      <c r="B77" s="89">
        <f>VLOOKUP(Uncertainty!B9,'Sensor Data'!H24:I65,1,TRUE)</f>
        <v>1</v>
      </c>
    </row>
    <row r="78" spans="1:2" x14ac:dyDescent="0.35">
      <c r="A78" s="56" t="s">
        <v>59</v>
      </c>
      <c r="B78" s="89">
        <f>VLOOKUP(Uncertainty!B9,'Sensor Data'!J24:K65,1,TRUE)</f>
        <v>1</v>
      </c>
    </row>
    <row r="79" spans="1:2" x14ac:dyDescent="0.35">
      <c r="A79" s="56" t="s">
        <v>86</v>
      </c>
      <c r="B79" s="89">
        <f>VLOOKUP(Uncertainty!B9,'Sensor Data'!L24:M30,1,TRUE)</f>
        <v>1</v>
      </c>
    </row>
    <row r="80" spans="1:2" x14ac:dyDescent="0.35">
      <c r="A80" s="56" t="s">
        <v>85</v>
      </c>
      <c r="B80" s="89">
        <f>VLOOKUP(Uncertainty!B9,'Sensor Data'!N24:O32,1,TRUE)</f>
        <v>1</v>
      </c>
    </row>
    <row r="82" spans="1:2" x14ac:dyDescent="0.35">
      <c r="A82" s="56" t="s">
        <v>73</v>
      </c>
    </row>
    <row r="83" spans="1:2" x14ac:dyDescent="0.35">
      <c r="A83" s="56" t="s">
        <v>55</v>
      </c>
      <c r="B83" s="89">
        <f>INDEX('Sensor Data'!B24:B30,Uncertainty!E8+1)</f>
        <v>2</v>
      </c>
    </row>
    <row r="84" spans="1:2" x14ac:dyDescent="0.35">
      <c r="A84" s="56" t="s">
        <v>56</v>
      </c>
      <c r="B84" s="89">
        <f>INDEX('Sensor Data'!D24:D42,Uncertainty!E8+1)</f>
        <v>2</v>
      </c>
    </row>
    <row r="85" spans="1:2" x14ac:dyDescent="0.35">
      <c r="A85" s="56" t="s">
        <v>57</v>
      </c>
      <c r="B85" s="89">
        <f>INDEX('Sensor Data'!F24:F42,Uncertainty!E8+1)</f>
        <v>2</v>
      </c>
    </row>
    <row r="86" spans="1:2" x14ac:dyDescent="0.35">
      <c r="A86" s="56" t="s">
        <v>58</v>
      </c>
      <c r="B86" s="89">
        <f>INDEX('Sensor Data'!H24:H65,Uncertainty!E8+1)</f>
        <v>2</v>
      </c>
    </row>
    <row r="87" spans="1:2" x14ac:dyDescent="0.35">
      <c r="A87" s="56" t="s">
        <v>59</v>
      </c>
      <c r="B87" s="89">
        <f>INDEX('Sensor Data'!J24:J65,Uncertainty!E8+1)</f>
        <v>2</v>
      </c>
    </row>
    <row r="88" spans="1:2" x14ac:dyDescent="0.35">
      <c r="A88" s="56" t="s">
        <v>86</v>
      </c>
      <c r="B88" s="89">
        <f>INDEX('Sensor Data'!L24:L30,Uncertainty!E8+1)</f>
        <v>2</v>
      </c>
    </row>
    <row r="89" spans="1:2" x14ac:dyDescent="0.35">
      <c r="A89" s="56" t="s">
        <v>85</v>
      </c>
      <c r="B89" s="89">
        <f>INDEX('Sensor Data'!N24:N32,Uncertainty!E8+1)</f>
        <v>2</v>
      </c>
    </row>
    <row r="91" spans="1:2" x14ac:dyDescent="0.35">
      <c r="A91" s="56" t="s">
        <v>75</v>
      </c>
    </row>
    <row r="92" spans="1:2" x14ac:dyDescent="0.35">
      <c r="A92" s="56" t="s">
        <v>55</v>
      </c>
      <c r="B92" s="89">
        <f>VLOOKUP(Uncertainty!B9,'Sensor Data'!B24:C30,2,TRUE)</f>
        <v>1.4</v>
      </c>
    </row>
    <row r="93" spans="1:2" x14ac:dyDescent="0.35">
      <c r="A93" s="56" t="s">
        <v>56</v>
      </c>
      <c r="B93" s="89">
        <f>VLOOKUP(Uncertainty!B9,'Sensor Data'!D24:E42,2,TRUE)</f>
        <v>1.4</v>
      </c>
    </row>
    <row r="94" spans="1:2" x14ac:dyDescent="0.35">
      <c r="A94" s="56" t="s">
        <v>57</v>
      </c>
      <c r="B94" s="89">
        <f>VLOOKUP(Uncertainty!B9,'Sensor Data'!F24:G42,2,TRUE)</f>
        <v>1.1000000000000001</v>
      </c>
    </row>
    <row r="95" spans="1:2" x14ac:dyDescent="0.35">
      <c r="A95" s="56" t="s">
        <v>58</v>
      </c>
      <c r="B95" s="89">
        <f>VLOOKUP(Uncertainty!B9,'Sensor Data'!H24:I65,2,TRUE)</f>
        <v>1.3</v>
      </c>
    </row>
    <row r="96" spans="1:2" x14ac:dyDescent="0.35">
      <c r="A96" s="56" t="s">
        <v>59</v>
      </c>
      <c r="B96" s="89">
        <f>VLOOKUP(Uncertainty!B9,'Sensor Data'!J24:K65,2,TRUE)</f>
        <v>1.1000000000000001</v>
      </c>
    </row>
    <row r="97" spans="1:2" x14ac:dyDescent="0.35">
      <c r="A97" s="56" t="s">
        <v>86</v>
      </c>
      <c r="B97" s="89">
        <f>VLOOKUP(Uncertainty!B9,'Sensor Data'!L24:M30,2,TRUE)</f>
        <v>1.4</v>
      </c>
    </row>
    <row r="98" spans="1:2" x14ac:dyDescent="0.35">
      <c r="A98" s="56" t="s">
        <v>85</v>
      </c>
      <c r="B98" s="89">
        <f>VLOOKUP(Uncertainty!B9,'Sensor Data'!N24:O32,2,TRUE)</f>
        <v>1.4</v>
      </c>
    </row>
    <row r="100" spans="1:2" x14ac:dyDescent="0.35">
      <c r="A100" s="56" t="s">
        <v>87</v>
      </c>
    </row>
    <row r="101" spans="1:2" x14ac:dyDescent="0.35">
      <c r="A101" s="56" t="s">
        <v>55</v>
      </c>
      <c r="B101" s="89">
        <f>INDEX('Sensor Data'!C24:C30,Uncertainty!F11+1)</f>
        <v>1.4</v>
      </c>
    </row>
    <row r="102" spans="1:2" x14ac:dyDescent="0.35">
      <c r="A102" s="56" t="s">
        <v>56</v>
      </c>
      <c r="B102" s="89">
        <f>INDEX('Sensor Data'!E24:E42,Uncertainty!F11+1)</f>
        <v>1.4</v>
      </c>
    </row>
    <row r="103" spans="1:2" x14ac:dyDescent="0.35">
      <c r="A103" s="56" t="s">
        <v>57</v>
      </c>
      <c r="B103" s="89">
        <f>INDEX('Sensor Data'!G24:G42,Uncertainty!F11+1)</f>
        <v>1.5</v>
      </c>
    </row>
    <row r="104" spans="1:2" x14ac:dyDescent="0.35">
      <c r="A104" s="56" t="s">
        <v>58</v>
      </c>
      <c r="B104" s="89">
        <f>INDEX('Sensor Data'!I24:I65,Uncertainty!F11+1)</f>
        <v>1.3</v>
      </c>
    </row>
    <row r="105" spans="1:2" x14ac:dyDescent="0.35">
      <c r="A105" s="56" t="s">
        <v>59</v>
      </c>
      <c r="B105" s="89">
        <f>INDEX('Sensor Data'!K24:K65,Uncertainty!F11+1)</f>
        <v>1.2</v>
      </c>
    </row>
    <row r="106" spans="1:2" x14ac:dyDescent="0.35">
      <c r="A106" s="56" t="s">
        <v>86</v>
      </c>
      <c r="B106" s="89">
        <f>INDEX('Sensor Data'!M24:M30,Uncertainty!F11+1)</f>
        <v>1.4</v>
      </c>
    </row>
    <row r="107" spans="1:2" x14ac:dyDescent="0.35">
      <c r="A107" s="56" t="s">
        <v>85</v>
      </c>
      <c r="B107" s="89">
        <f>INDEX('Sensor Data'!O24:O32,Uncertainty!F11+1)</f>
        <v>1.4</v>
      </c>
    </row>
    <row r="109" spans="1:2" x14ac:dyDescent="0.35">
      <c r="A109" s="56" t="s">
        <v>74</v>
      </c>
    </row>
    <row r="110" spans="1:2" x14ac:dyDescent="0.35">
      <c r="A110" s="56" t="s">
        <v>55</v>
      </c>
      <c r="B110" s="89">
        <f>MATCH(Uncertainty!D8,'Sensor Data'!B24:B30,0)</f>
        <v>2</v>
      </c>
    </row>
    <row r="111" spans="1:2" x14ac:dyDescent="0.35">
      <c r="A111" s="56" t="s">
        <v>56</v>
      </c>
      <c r="B111" s="89">
        <f>MATCH(Uncertainty!D8,'Sensor Data'!D24:D42,0)</f>
        <v>2</v>
      </c>
    </row>
    <row r="112" spans="1:2" x14ac:dyDescent="0.35">
      <c r="A112" s="56" t="s">
        <v>57</v>
      </c>
      <c r="B112" s="89">
        <f>MATCH(Uncertainty!D8,'Sensor Data'!F24:F42,0)</f>
        <v>2</v>
      </c>
    </row>
    <row r="113" spans="1:2" x14ac:dyDescent="0.35">
      <c r="A113" s="56" t="s">
        <v>58</v>
      </c>
      <c r="B113" s="89">
        <f>MATCH(Uncertainty!D8,'Sensor Data'!H24:H65,0)</f>
        <v>2</v>
      </c>
    </row>
    <row r="114" spans="1:2" x14ac:dyDescent="0.35">
      <c r="A114" s="56" t="s">
        <v>59</v>
      </c>
      <c r="B114" s="89">
        <f>MATCH(Uncertainty!D8,'Sensor Data'!J24:J65,0)</f>
        <v>2</v>
      </c>
    </row>
    <row r="115" spans="1:2" x14ac:dyDescent="0.35">
      <c r="A115" s="56" t="s">
        <v>86</v>
      </c>
      <c r="B115" s="89">
        <f>MATCH(Uncertainty!D8,'Sensor Data'!L24:L30,0)</f>
        <v>2</v>
      </c>
    </row>
    <row r="116" spans="1:2" x14ac:dyDescent="0.35">
      <c r="A116" s="56" t="s">
        <v>85</v>
      </c>
      <c r="B116" s="89">
        <f>MATCH(Uncertainty!D8,'Sensor Data'!N24:N32,0)</f>
        <v>2</v>
      </c>
    </row>
    <row r="118" spans="1:2" x14ac:dyDescent="0.35">
      <c r="A118" s="56" t="s">
        <v>88</v>
      </c>
    </row>
    <row r="119" spans="1:2" x14ac:dyDescent="0.35">
      <c r="A119" s="56" t="s">
        <v>55</v>
      </c>
      <c r="B119" s="89">
        <f>MATCH(Uncertainty!D8,'Sensor Data'!B24:B30,0)</f>
        <v>2</v>
      </c>
    </row>
    <row r="120" spans="1:2" x14ac:dyDescent="0.35">
      <c r="A120" s="56" t="s">
        <v>56</v>
      </c>
      <c r="B120" s="89">
        <f>MATCH(Uncertainty!D8,'Sensor Data'!D24:D42,0)</f>
        <v>2</v>
      </c>
    </row>
    <row r="121" spans="1:2" x14ac:dyDescent="0.35">
      <c r="A121" s="56" t="s">
        <v>57</v>
      </c>
      <c r="B121" s="89">
        <f>MATCH(Uncertainty!D8,'Sensor Data'!F24:F42,0)</f>
        <v>2</v>
      </c>
    </row>
    <row r="122" spans="1:2" x14ac:dyDescent="0.35">
      <c r="A122" s="56" t="s">
        <v>58</v>
      </c>
      <c r="B122" s="89">
        <f>MATCH(Uncertainty!D8,'Sensor Data'!H24:H65,0)</f>
        <v>2</v>
      </c>
    </row>
    <row r="123" spans="1:2" x14ac:dyDescent="0.35">
      <c r="A123" s="56" t="s">
        <v>59</v>
      </c>
      <c r="B123" s="89">
        <f>MATCH(Uncertainty!D8,'Sensor Data'!J24:J65,0)</f>
        <v>2</v>
      </c>
    </row>
    <row r="124" spans="1:2" x14ac:dyDescent="0.35">
      <c r="A124" s="56" t="s">
        <v>86</v>
      </c>
      <c r="B124" s="89">
        <f>MATCH(Uncertainty!D8,'Sensor Data'!L24:L30,0)</f>
        <v>2</v>
      </c>
    </row>
    <row r="125" spans="1:2" x14ac:dyDescent="0.35">
      <c r="A125" s="56" t="s">
        <v>85</v>
      </c>
      <c r="B125" s="89">
        <f>MATCH(Uncertainty!D8,'Sensor Data'!N24:N32,0)</f>
        <v>2</v>
      </c>
    </row>
    <row r="127" spans="1:2" x14ac:dyDescent="0.35">
      <c r="A127" s="56" t="s">
        <v>82</v>
      </c>
    </row>
    <row r="128" spans="1:2" x14ac:dyDescent="0.35">
      <c r="A128" s="56" t="s">
        <v>55</v>
      </c>
      <c r="B128" s="89">
        <f>'Sensor Data'!C4</f>
        <v>6</v>
      </c>
    </row>
    <row r="129" spans="1:2" x14ac:dyDescent="0.35">
      <c r="A129" s="56" t="s">
        <v>56</v>
      </c>
      <c r="B129" s="89">
        <f>'Sensor Data'!E4</f>
        <v>18</v>
      </c>
    </row>
    <row r="130" spans="1:2" x14ac:dyDescent="0.35">
      <c r="A130" s="56" t="s">
        <v>57</v>
      </c>
      <c r="B130" s="89">
        <f>'Sensor Data'!G4</f>
        <v>18</v>
      </c>
    </row>
    <row r="131" spans="1:2" x14ac:dyDescent="0.35">
      <c r="A131" s="56" t="s">
        <v>58</v>
      </c>
      <c r="B131" s="89">
        <f>'Sensor Data'!I4</f>
        <v>40</v>
      </c>
    </row>
    <row r="132" spans="1:2" x14ac:dyDescent="0.35">
      <c r="A132" s="56" t="s">
        <v>59</v>
      </c>
      <c r="B132" s="89">
        <f>'Sensor Data'!K4</f>
        <v>40</v>
      </c>
    </row>
    <row r="133" spans="1:2" x14ac:dyDescent="0.35">
      <c r="A133" s="56" t="s">
        <v>86</v>
      </c>
      <c r="B133" s="89">
        <f>'Sensor Data'!M4</f>
        <v>6</v>
      </c>
    </row>
    <row r="134" spans="1:2" x14ac:dyDescent="0.35">
      <c r="A134" s="56" t="s">
        <v>85</v>
      </c>
      <c r="B134" s="89">
        <f>'Sensor Data'!O4</f>
        <v>8</v>
      </c>
    </row>
  </sheetData>
  <printOptions gridLines="1"/>
  <pageMargins left="0" right="0" top="0" bottom="0" header="0.3" footer="0.3"/>
  <pageSetup scale="3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BA1F7D6C-AC0A-4D91-B033-E82E177486E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Uncertainty</vt:lpstr>
      <vt:lpstr>Sensor Data</vt:lpstr>
      <vt:lpstr>Formulas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 Strickler</dc:creator>
  <cp:lastModifiedBy>Bob Buxton</cp:lastModifiedBy>
  <dcterms:created xsi:type="dcterms:W3CDTF">2018-04-25T16:40:38Z</dcterms:created>
  <dcterms:modified xsi:type="dcterms:W3CDTF">2022-06-18T00:11:54Z</dcterms:modified>
</cp:coreProperties>
</file>